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695" windowHeight="12525" activeTab="4"/>
  </bookViews>
  <sheets>
    <sheet name="Scheme" sheetId="9" r:id="rId1"/>
    <sheet name="Antena patrata" sheetId="1" r:id="rId2"/>
    <sheet name="Antena hexagonala" sheetId="6" r:id="rId3"/>
    <sheet name="Antena octogonala" sheetId="3" r:id="rId4"/>
    <sheet name="Antena circulara" sheetId="4" r:id="rId5"/>
    <sheet name="Multispire hexagon" sheetId="5" r:id="rId6"/>
    <sheet name="Multispire octogon" sheetId="7" r:id="rId7"/>
    <sheet name="Multispire cerc" sheetId="8" r:id="rId8"/>
  </sheets>
  <definedNames>
    <definedName name="_xlnm.Print_Area" localSheetId="7">'Multispire cerc'!$A$1:$H$33</definedName>
  </definedNames>
  <calcPr calcId="125725"/>
</workbook>
</file>

<file path=xl/calcChain.xml><?xml version="1.0" encoding="utf-8"?>
<calcChain xmlns="http://schemas.openxmlformats.org/spreadsheetml/2006/main">
  <c r="Q4" i="4"/>
  <c r="P4"/>
  <c r="O4"/>
  <c r="N4"/>
  <c r="M4"/>
  <c r="L4"/>
  <c r="K4"/>
  <c r="D16"/>
  <c r="E16"/>
  <c r="F16"/>
  <c r="G16"/>
  <c r="H16"/>
  <c r="I16"/>
  <c r="D18"/>
  <c r="E18"/>
  <c r="F18"/>
  <c r="G18"/>
  <c r="H18"/>
  <c r="I18"/>
  <c r="Q5"/>
  <c r="I17" s="1"/>
  <c r="Q7"/>
  <c r="Q8"/>
  <c r="Q10"/>
  <c r="Q11" s="1"/>
  <c r="Q12"/>
  <c r="Q15"/>
  <c r="Q16"/>
  <c r="Q24"/>
  <c r="I13"/>
  <c r="P5"/>
  <c r="P12" s="1"/>
  <c r="P7"/>
  <c r="P8"/>
  <c r="P10"/>
  <c r="P11" s="1"/>
  <c r="P14" s="1"/>
  <c r="P15"/>
  <c r="P24"/>
  <c r="H13"/>
  <c r="O5"/>
  <c r="G17" s="1"/>
  <c r="O7"/>
  <c r="O8"/>
  <c r="O10"/>
  <c r="O11" s="1"/>
  <c r="O12"/>
  <c r="O15"/>
  <c r="O16"/>
  <c r="O24"/>
  <c r="G13"/>
  <c r="N5"/>
  <c r="F17" s="1"/>
  <c r="N7"/>
  <c r="N8"/>
  <c r="N10"/>
  <c r="N11" s="1"/>
  <c r="N12"/>
  <c r="N15"/>
  <c r="N24"/>
  <c r="F13"/>
  <c r="M10"/>
  <c r="M11" s="1"/>
  <c r="M24"/>
  <c r="M5"/>
  <c r="M12" s="1"/>
  <c r="M7"/>
  <c r="M15" s="1"/>
  <c r="M8"/>
  <c r="E13"/>
  <c r="D13"/>
  <c r="L5"/>
  <c r="D17" s="1"/>
  <c r="L7"/>
  <c r="L8"/>
  <c r="L10"/>
  <c r="L11" s="1"/>
  <c r="L12"/>
  <c r="L15"/>
  <c r="L24"/>
  <c r="D21" i="8"/>
  <c r="D19"/>
  <c r="C18"/>
  <c r="C16"/>
  <c r="C23" i="7"/>
  <c r="D21"/>
  <c r="D19"/>
  <c r="C18"/>
  <c r="C17"/>
  <c r="C16"/>
  <c r="D21" i="5"/>
  <c r="D19"/>
  <c r="C18"/>
  <c r="C16"/>
  <c r="H17" i="4" l="1"/>
  <c r="E17"/>
  <c r="N16"/>
  <c r="N17" s="1"/>
  <c r="N18" s="1"/>
  <c r="O17"/>
  <c r="O18" s="1"/>
  <c r="Q17"/>
  <c r="Q18" s="1"/>
  <c r="Q14"/>
  <c r="Q13"/>
  <c r="P13"/>
  <c r="P16"/>
  <c r="P17" s="1"/>
  <c r="P18" s="1"/>
  <c r="O14"/>
  <c r="O13"/>
  <c r="L16"/>
  <c r="M16"/>
  <c r="M17" s="1"/>
  <c r="M18" s="1"/>
  <c r="N14"/>
  <c r="N13"/>
  <c r="L17"/>
  <c r="L18" s="1"/>
  <c r="M13"/>
  <c r="M14"/>
  <c r="L14"/>
  <c r="L13"/>
  <c r="C18"/>
  <c r="C16"/>
  <c r="C24" i="3"/>
  <c r="D21"/>
  <c r="D20"/>
  <c r="D19"/>
  <c r="C18"/>
  <c r="C16"/>
  <c r="C24" i="6"/>
  <c r="C23"/>
  <c r="D21"/>
  <c r="D20"/>
  <c r="D19"/>
  <c r="C18"/>
  <c r="C17"/>
  <c r="C16"/>
  <c r="C24" i="1"/>
  <c r="C23"/>
  <c r="D21"/>
  <c r="D20"/>
  <c r="D19"/>
  <c r="C18"/>
  <c r="C17"/>
  <c r="C16"/>
  <c r="Q19" i="4" l="1"/>
  <c r="P19"/>
  <c r="O19"/>
  <c r="N19"/>
  <c r="M19"/>
  <c r="L19"/>
  <c r="G24" i="8"/>
  <c r="G24" i="7"/>
  <c r="D30" i="5"/>
  <c r="D31"/>
  <c r="D32"/>
  <c r="G24"/>
  <c r="G24" i="3"/>
  <c r="G24" i="6"/>
  <c r="G24" i="1"/>
  <c r="D31" i="6"/>
  <c r="D30"/>
  <c r="D29"/>
  <c r="D9" i="1"/>
  <c r="C9"/>
  <c r="D11" i="8"/>
  <c r="C11"/>
  <c r="F10" s="1"/>
  <c r="F11" s="1"/>
  <c r="D12" i="7"/>
  <c r="C12"/>
  <c r="D12" i="5"/>
  <c r="C12"/>
  <c r="G10" i="8"/>
  <c r="G6" i="7"/>
  <c r="G5" s="1"/>
  <c r="D20" s="1"/>
  <c r="G7"/>
  <c r="G15" s="1"/>
  <c r="G8"/>
  <c r="D32"/>
  <c r="D30"/>
  <c r="D31" s="1"/>
  <c r="D31" i="3"/>
  <c r="D29"/>
  <c r="D30" s="1"/>
  <c r="F7"/>
  <c r="F6"/>
  <c r="F5" s="1"/>
  <c r="D31" i="1"/>
  <c r="D30"/>
  <c r="D29"/>
  <c r="D32" i="8"/>
  <c r="D31"/>
  <c r="D30"/>
  <c r="F24"/>
  <c r="D14"/>
  <c r="C14"/>
  <c r="G8"/>
  <c r="F8"/>
  <c r="G7"/>
  <c r="G15" s="1"/>
  <c r="F7"/>
  <c r="F15" s="1"/>
  <c r="G5"/>
  <c r="F5"/>
  <c r="F24" i="7"/>
  <c r="D14"/>
  <c r="C14"/>
  <c r="F8"/>
  <c r="F7"/>
  <c r="F15" s="1"/>
  <c r="F6"/>
  <c r="F24" i="5"/>
  <c r="D14"/>
  <c r="C14"/>
  <c r="G8"/>
  <c r="F8"/>
  <c r="G7"/>
  <c r="G15" s="1"/>
  <c r="F7"/>
  <c r="F15" s="1"/>
  <c r="G6"/>
  <c r="F6"/>
  <c r="G5"/>
  <c r="D20" s="1"/>
  <c r="F5"/>
  <c r="C17" s="1"/>
  <c r="G5" i="6"/>
  <c r="G12" s="1"/>
  <c r="G6"/>
  <c r="G10" s="1"/>
  <c r="G11" s="1"/>
  <c r="G7"/>
  <c r="G15" s="1"/>
  <c r="G8"/>
  <c r="F5"/>
  <c r="F6"/>
  <c r="F10" s="1"/>
  <c r="F11" s="1"/>
  <c r="F7"/>
  <c r="F24"/>
  <c r="D13"/>
  <c r="C13"/>
  <c r="F8"/>
  <c r="K10" i="4"/>
  <c r="K11" s="1"/>
  <c r="K7"/>
  <c r="K5"/>
  <c r="K24"/>
  <c r="C13"/>
  <c r="K8"/>
  <c r="G10" i="3"/>
  <c r="G11" s="1"/>
  <c r="G12"/>
  <c r="G15"/>
  <c r="G16"/>
  <c r="G17" s="1"/>
  <c r="G18" s="1"/>
  <c r="G6"/>
  <c r="G5" s="1"/>
  <c r="G7"/>
  <c r="G8"/>
  <c r="F24"/>
  <c r="D13"/>
  <c r="C13"/>
  <c r="F8"/>
  <c r="C13" i="1"/>
  <c r="D13"/>
  <c r="G8"/>
  <c r="G6"/>
  <c r="G7" s="1"/>
  <c r="G15" s="1"/>
  <c r="F6"/>
  <c r="F5" s="1"/>
  <c r="F16" s="1"/>
  <c r="F24"/>
  <c r="F8"/>
  <c r="Q20" i="4" l="1"/>
  <c r="Q23"/>
  <c r="Q21"/>
  <c r="P20"/>
  <c r="P23"/>
  <c r="P21"/>
  <c r="O20"/>
  <c r="O23"/>
  <c r="O21"/>
  <c r="N20"/>
  <c r="N23"/>
  <c r="N21"/>
  <c r="M23"/>
  <c r="M20"/>
  <c r="M21"/>
  <c r="L23"/>
  <c r="L20"/>
  <c r="L21"/>
  <c r="K16"/>
  <c r="C17"/>
  <c r="D7" i="5"/>
  <c r="G10" s="1"/>
  <c r="G16"/>
  <c r="C7"/>
  <c r="F10"/>
  <c r="F16"/>
  <c r="G12" i="7"/>
  <c r="D7"/>
  <c r="G10" s="1"/>
  <c r="G11" s="1"/>
  <c r="G14" s="1"/>
  <c r="G16"/>
  <c r="G17" s="1"/>
  <c r="G18" s="1"/>
  <c r="G16" i="8"/>
  <c r="D20"/>
  <c r="F16"/>
  <c r="C17"/>
  <c r="F16" i="3"/>
  <c r="C17"/>
  <c r="F10"/>
  <c r="F11" s="1"/>
  <c r="G16" i="6"/>
  <c r="G17" s="1"/>
  <c r="G18" s="1"/>
  <c r="G11" i="8"/>
  <c r="G14" s="1"/>
  <c r="G11" i="5"/>
  <c r="F11"/>
  <c r="F14" s="1"/>
  <c r="G17" i="8"/>
  <c r="G18" s="1"/>
  <c r="G12"/>
  <c r="G13" i="7"/>
  <c r="F5"/>
  <c r="F14" i="8"/>
  <c r="F17"/>
  <c r="F18" s="1"/>
  <c r="F12"/>
  <c r="F13" s="1"/>
  <c r="F17" i="5"/>
  <c r="F18" s="1"/>
  <c r="G14"/>
  <c r="G17"/>
  <c r="G18" s="1"/>
  <c r="F12"/>
  <c r="G12"/>
  <c r="G13" i="6"/>
  <c r="G14"/>
  <c r="F16"/>
  <c r="F14"/>
  <c r="F15"/>
  <c r="F12"/>
  <c r="F13" s="1"/>
  <c r="K14" i="4"/>
  <c r="K15"/>
  <c r="K12"/>
  <c r="K13" s="1"/>
  <c r="G13" i="3"/>
  <c r="G14"/>
  <c r="F14"/>
  <c r="F15"/>
  <c r="F17" s="1"/>
  <c r="F18" s="1"/>
  <c r="F12"/>
  <c r="F13" s="1"/>
  <c r="G10" i="1"/>
  <c r="G11" s="1"/>
  <c r="G5"/>
  <c r="F10"/>
  <c r="F11" s="1"/>
  <c r="F14" s="1"/>
  <c r="F12"/>
  <c r="F7"/>
  <c r="F15" s="1"/>
  <c r="F17" s="1"/>
  <c r="F18" s="1"/>
  <c r="M22" i="4" l="1"/>
  <c r="E23"/>
  <c r="O22"/>
  <c r="G23"/>
  <c r="Q22"/>
  <c r="I23"/>
  <c r="L22"/>
  <c r="D23"/>
  <c r="P22"/>
  <c r="H23"/>
  <c r="N22"/>
  <c r="F23"/>
  <c r="K17"/>
  <c r="K18" s="1"/>
  <c r="F16" i="7"/>
  <c r="F17" s="1"/>
  <c r="F18" s="1"/>
  <c r="C7"/>
  <c r="F10" s="1"/>
  <c r="F11" s="1"/>
  <c r="F14" s="1"/>
  <c r="G13" i="8"/>
  <c r="G13" i="5"/>
  <c r="F13"/>
  <c r="G19" i="8"/>
  <c r="G19" i="7"/>
  <c r="F12"/>
  <c r="F19" i="8"/>
  <c r="F21" s="1"/>
  <c r="F19" i="5"/>
  <c r="F21" s="1"/>
  <c r="G19"/>
  <c r="G21" s="1"/>
  <c r="G19" i="6"/>
  <c r="F17"/>
  <c r="F18" s="1"/>
  <c r="F19"/>
  <c r="F21" s="1"/>
  <c r="F22" s="1"/>
  <c r="K19" i="4"/>
  <c r="K21" s="1"/>
  <c r="G19" i="3"/>
  <c r="F19"/>
  <c r="F21" s="1"/>
  <c r="G12" i="1"/>
  <c r="G16"/>
  <c r="G17" s="1"/>
  <c r="G18" s="1"/>
  <c r="G13"/>
  <c r="G14"/>
  <c r="F19"/>
  <c r="F21" s="1"/>
  <c r="F22" s="1"/>
  <c r="F13"/>
  <c r="K22" i="4" l="1"/>
  <c r="C23"/>
  <c r="G22" i="5"/>
  <c r="C24"/>
  <c r="F22"/>
  <c r="C23"/>
  <c r="F22" i="8"/>
  <c r="C23"/>
  <c r="F22" i="3"/>
  <c r="C23"/>
  <c r="F13" i="7"/>
  <c r="F19"/>
  <c r="F21" s="1"/>
  <c r="F22" s="1"/>
  <c r="G23" i="8"/>
  <c r="G20"/>
  <c r="G21"/>
  <c r="G23" i="7"/>
  <c r="G20"/>
  <c r="G21"/>
  <c r="F23" i="8"/>
  <c r="F20"/>
  <c r="G23" i="5"/>
  <c r="G20"/>
  <c r="F23"/>
  <c r="F20"/>
  <c r="G23" i="6"/>
  <c r="G20"/>
  <c r="G21"/>
  <c r="G22" s="1"/>
  <c r="F23"/>
  <c r="F20"/>
  <c r="K23" i="4"/>
  <c r="K20"/>
  <c r="G23" i="3"/>
  <c r="G20"/>
  <c r="G21"/>
  <c r="G22" s="1"/>
  <c r="F23"/>
  <c r="F20"/>
  <c r="G19" i="1"/>
  <c r="G21" s="1"/>
  <c r="G22" s="1"/>
  <c r="F20"/>
  <c r="F23"/>
  <c r="G22" i="7" l="1"/>
  <c r="C24"/>
  <c r="G22" i="8"/>
  <c r="C24"/>
  <c r="F20" i="7"/>
  <c r="F23"/>
  <c r="G20" i="1"/>
  <c r="G23"/>
</calcChain>
</file>

<file path=xl/sharedStrings.xml><?xml version="1.0" encoding="utf-8"?>
<sst xmlns="http://schemas.openxmlformats.org/spreadsheetml/2006/main" count="426" uniqueCount="87">
  <si>
    <t>Frecventa F [MHz]</t>
  </si>
  <si>
    <t>Diametrul antenei D [m,cm]</t>
  </si>
  <si>
    <t>Diametrul conductor d [mm]</t>
  </si>
  <si>
    <t>Puterea P [watt]</t>
  </si>
  <si>
    <t>Numarul de spire N [nr]</t>
  </si>
  <si>
    <t>Date de intrare</t>
  </si>
  <si>
    <t>Constante de material</t>
  </si>
  <si>
    <t>Date calculate</t>
  </si>
  <si>
    <t>Conductivitatea [S/m]</t>
  </si>
  <si>
    <t>Date dimensionale</t>
  </si>
  <si>
    <t>Perimetrul antenei p [m]</t>
  </si>
  <si>
    <t>Latura poligonului a [m]</t>
  </si>
  <si>
    <r>
      <t>Aria antenei A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</si>
  <si>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Date functionale</t>
  </si>
  <si>
    <r>
      <t>Inductanta L [</t>
    </r>
    <r>
      <rPr>
        <sz val="11"/>
        <color theme="1"/>
        <rFont val="Calibri"/>
        <family val="2"/>
      </rPr>
      <t>μH]</t>
    </r>
  </si>
  <si>
    <t>Capacitatea la rezonanta C [pF]</t>
  </si>
  <si>
    <r>
      <t>Capacitatea distribuita C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[pF]</t>
    </r>
  </si>
  <si>
    <r>
      <t>Capacitatea de acord C</t>
    </r>
    <r>
      <rPr>
        <vertAlign val="subscript"/>
        <sz val="11"/>
        <color theme="1"/>
        <rFont val="Calibri"/>
        <family val="2"/>
        <scheme val="minor"/>
      </rPr>
      <t xml:space="preserve">a </t>
    </r>
    <r>
      <rPr>
        <sz val="11"/>
        <color theme="1"/>
        <rFont val="Calibri"/>
        <family val="2"/>
        <scheme val="minor"/>
      </rPr>
      <t>[pF]</t>
    </r>
  </si>
  <si>
    <r>
      <t>Reactanta la rezonanta X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=X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[</t>
    </r>
    <r>
      <rPr>
        <sz val="11"/>
        <color theme="1"/>
        <rFont val="Calibri"/>
        <family val="2"/>
      </rPr>
      <t>Ω]</t>
    </r>
  </si>
  <si>
    <r>
      <t>Rezistenta de radiatie R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[</t>
    </r>
    <r>
      <rPr>
        <sz val="11"/>
        <color theme="1"/>
        <rFont val="Calibri"/>
        <family val="2"/>
      </rPr>
      <t>Ω]</t>
    </r>
  </si>
  <si>
    <r>
      <t>Rezistenta de pierderi R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[</t>
    </r>
    <r>
      <rPr>
        <sz val="11"/>
        <color theme="1"/>
        <rFont val="Calibri"/>
        <family val="2"/>
      </rPr>
      <t>Ω]</t>
    </r>
  </si>
  <si>
    <r>
      <t xml:space="preserve">Randamentul / Eficienta </t>
    </r>
    <r>
      <rPr>
        <sz val="11"/>
        <color theme="1"/>
        <rFont val="Calibri"/>
        <family val="2"/>
      </rPr>
      <t>η [%]</t>
    </r>
  </si>
  <si>
    <t>Factorul de calitate Q</t>
  </si>
  <si>
    <t>Largime de banda BW [kHz]</t>
  </si>
  <si>
    <r>
      <t>Tensiunea eficace U</t>
    </r>
    <r>
      <rPr>
        <vertAlign val="subscript"/>
        <sz val="11"/>
        <color theme="1"/>
        <rFont val="Calibri"/>
        <family val="2"/>
        <scheme val="minor"/>
      </rPr>
      <t>ef</t>
    </r>
    <r>
      <rPr>
        <sz val="11"/>
        <color theme="1"/>
        <rFont val="Calibri"/>
        <family val="2"/>
        <scheme val="minor"/>
      </rPr>
      <t xml:space="preserve"> [V]</t>
    </r>
  </si>
  <si>
    <r>
      <t>Tensiunea varf la varf U</t>
    </r>
    <r>
      <rPr>
        <vertAlign val="subscript"/>
        <sz val="11"/>
        <color theme="1"/>
        <rFont val="Calibri"/>
        <family val="2"/>
        <scheme val="minor"/>
      </rPr>
      <t>vv</t>
    </r>
    <r>
      <rPr>
        <sz val="11"/>
        <color theme="1"/>
        <rFont val="Calibri"/>
        <family val="2"/>
        <scheme val="minor"/>
      </rPr>
      <t xml:space="preserve"> [V]</t>
    </r>
  </si>
  <si>
    <t>Curentul in antena la rezonanta I [A]</t>
  </si>
  <si>
    <t>Bucla de alimentare - Link 1/5.D [cm]</t>
  </si>
  <si>
    <t>Comparat cu bucla ideala K [dB]</t>
  </si>
  <si>
    <r>
      <t xml:space="preserve">Adancimea efectului pelicular </t>
    </r>
    <r>
      <rPr>
        <sz val="11"/>
        <color theme="1"/>
        <rFont val="Calibri"/>
        <family val="2"/>
      </rPr>
      <t>δ [mm]</t>
    </r>
  </si>
  <si>
    <t>Cupru</t>
  </si>
  <si>
    <t>Aluminiu</t>
  </si>
  <si>
    <t>Al =3,5*10^7</t>
  </si>
  <si>
    <t>Cu =5,8*10^7</t>
  </si>
  <si>
    <t>YO4UQ 2013</t>
  </si>
  <si>
    <t>Antena magnetica patrata</t>
  </si>
  <si>
    <t>Antena magnetica hexagonala</t>
  </si>
  <si>
    <t>Nu</t>
  </si>
  <si>
    <t>Formule si calcule ajutatoare pentru dimensiunile cercului:</t>
  </si>
  <si>
    <t>Diametrul D [m]</t>
  </si>
  <si>
    <t>Raza cercului r [m]</t>
  </si>
  <si>
    <t>Perimetrul p [m]</t>
  </si>
  <si>
    <r>
      <t>Aria A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] </t>
    </r>
  </si>
  <si>
    <t>r=D/2</t>
  </si>
  <si>
    <t>D</t>
  </si>
  <si>
    <r>
      <t>p=</t>
    </r>
    <r>
      <rPr>
        <b/>
        <sz val="11"/>
        <color theme="1"/>
        <rFont val="Calibri"/>
        <family val="2"/>
      </rPr>
      <t>π</t>
    </r>
    <r>
      <rPr>
        <b/>
        <sz val="12.1"/>
        <color theme="1"/>
        <rFont val="Calibri"/>
        <family val="2"/>
      </rPr>
      <t xml:space="preserve">.D </t>
    </r>
  </si>
  <si>
    <r>
      <t>A=</t>
    </r>
    <r>
      <rPr>
        <b/>
        <sz val="11"/>
        <color theme="1"/>
        <rFont val="Calibri"/>
        <family val="2"/>
      </rPr>
      <t>π</t>
    </r>
    <r>
      <rPr>
        <b/>
        <sz val="12.1"/>
        <color theme="1"/>
        <rFont val="Calibri"/>
        <family val="2"/>
      </rPr>
      <t>.D</t>
    </r>
    <r>
      <rPr>
        <b/>
        <vertAlign val="superscript"/>
        <sz val="12.1"/>
        <color theme="1"/>
        <rFont val="Calibri"/>
        <family val="2"/>
      </rPr>
      <t>2</t>
    </r>
    <r>
      <rPr>
        <b/>
        <sz val="12.1"/>
        <color theme="1"/>
        <rFont val="Calibri"/>
        <family val="2"/>
      </rPr>
      <t>/4</t>
    </r>
  </si>
  <si>
    <r>
      <t>p=6.D/2</t>
    </r>
    <r>
      <rPr>
        <b/>
        <sz val="12.1"/>
        <color theme="1"/>
        <rFont val="Calibri"/>
        <family val="2"/>
      </rPr>
      <t xml:space="preserve"> </t>
    </r>
  </si>
  <si>
    <t>a=D/2</t>
  </si>
  <si>
    <r>
      <t>A=3.</t>
    </r>
    <r>
      <rPr>
        <b/>
        <sz val="11"/>
        <color theme="1"/>
        <rFont val="Calibri"/>
        <family val="2"/>
      </rPr>
      <t>√3/2.(D/2)</t>
    </r>
  </si>
  <si>
    <t>Formule si calcule ajutatoare pentru dimensiunile hexagonului:</t>
  </si>
  <si>
    <t>Latura poligonului</t>
  </si>
  <si>
    <r>
      <t>a=D/</t>
    </r>
    <r>
      <rPr>
        <b/>
        <sz val="11"/>
        <color theme="1"/>
        <rFont val="Calibri"/>
        <family val="2"/>
      </rPr>
      <t>√2</t>
    </r>
  </si>
  <si>
    <r>
      <t>p=4.(D/</t>
    </r>
    <r>
      <rPr>
        <b/>
        <sz val="11"/>
        <color theme="1"/>
        <rFont val="Calibri"/>
        <family val="2"/>
      </rPr>
      <t>√2)</t>
    </r>
    <r>
      <rPr>
        <b/>
        <sz val="12.1"/>
        <color theme="1"/>
        <rFont val="Calibri"/>
        <family val="2"/>
      </rPr>
      <t xml:space="preserve"> </t>
    </r>
  </si>
  <si>
    <r>
      <t>A=D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/2</t>
    </r>
  </si>
  <si>
    <t>Formule si calcule ajutatoare pentru dimensiunile patratului:</t>
  </si>
  <si>
    <t>Formule si calcule ajutatoare pentru dimensiunile octogonului:</t>
  </si>
  <si>
    <t>Antena magnetica octogonala</t>
  </si>
  <si>
    <r>
      <t>a=D/2.(2-</t>
    </r>
    <r>
      <rPr>
        <b/>
        <sz val="11"/>
        <color theme="1"/>
        <rFont val="Calibri"/>
        <family val="2"/>
      </rPr>
      <t>√2)</t>
    </r>
    <r>
      <rPr>
        <b/>
        <vertAlign val="superscript"/>
        <sz val="11"/>
        <color theme="1"/>
        <rFont val="Calibri"/>
        <family val="2"/>
      </rPr>
      <t>1/2</t>
    </r>
  </si>
  <si>
    <r>
      <t>p=8.(D/2.(2-</t>
    </r>
    <r>
      <rPr>
        <b/>
        <sz val="11"/>
        <color theme="1"/>
        <rFont val="Calibri"/>
        <family val="2"/>
      </rPr>
      <t>√2)</t>
    </r>
    <r>
      <rPr>
        <b/>
        <vertAlign val="superscript"/>
        <sz val="11"/>
        <color theme="1"/>
        <rFont val="Calibri"/>
        <family val="2"/>
      </rPr>
      <t>1/2</t>
    </r>
    <r>
      <rPr>
        <b/>
        <sz val="11"/>
        <color theme="1"/>
        <rFont val="Calibri"/>
        <family val="2"/>
      </rPr>
      <t>)</t>
    </r>
  </si>
  <si>
    <r>
      <t>A=2.(D/2)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.</t>
    </r>
    <r>
      <rPr>
        <b/>
        <sz val="11"/>
        <color theme="1"/>
        <rFont val="Calibri"/>
        <family val="2"/>
      </rPr>
      <t>√2</t>
    </r>
  </si>
  <si>
    <t>multi spira</t>
  </si>
  <si>
    <t>Antena magnetica circulara</t>
  </si>
  <si>
    <r>
      <t>A=3/2.</t>
    </r>
    <r>
      <rPr>
        <b/>
        <sz val="11"/>
        <color theme="1"/>
        <rFont val="Calibri"/>
        <family val="2"/>
      </rPr>
      <t>√3.(D/2)</t>
    </r>
  </si>
  <si>
    <t>Nota: Lungimea bobinajului este o marime calculata functie de</t>
  </si>
  <si>
    <t xml:space="preserve">          Ea este astfel aleasa pentru a evita efectul de proximitate.</t>
  </si>
  <si>
    <t>Spatiul dintre spire S [cm] PITCH</t>
  </si>
  <si>
    <t xml:space="preserve">                                   </t>
  </si>
  <si>
    <t>Diamertul echivalent De [m,cm]</t>
  </si>
  <si>
    <t>Diam. cerc circumscris D [m,cm]</t>
  </si>
  <si>
    <t xml:space="preserve">          distanta neta intre centrele spirelor.</t>
  </si>
  <si>
    <t xml:space="preserve">          diametrul conductorului. </t>
  </si>
  <si>
    <t xml:space="preserve">          Distanta intre spire (pitch) va fi de 3 la 5 ori din</t>
  </si>
  <si>
    <t>Diam cerc cicumscris D [m,cm]</t>
  </si>
  <si>
    <t>Diametrul echivalent De [m,cm]</t>
  </si>
  <si>
    <t>Spatiul dintre spire S [cm]</t>
  </si>
  <si>
    <t>Lungimea bobinajului [m] (* Nota</t>
  </si>
  <si>
    <t>Diam. cerc circumscris D [m]</t>
  </si>
  <si>
    <t>Diam cerc circumscris D [m,cm]</t>
  </si>
  <si>
    <t>Numarul de spire N [nr] strict &gt; 1</t>
  </si>
  <si>
    <t>Incadrarea in dimensiuni</t>
  </si>
  <si>
    <t>λ/8 &lt; p real &lt; λ/4</t>
  </si>
  <si>
    <r>
      <t>Cupru p=</t>
    </r>
    <r>
      <rPr>
        <b/>
        <sz val="11"/>
        <rFont val="Calibri"/>
        <family val="2"/>
      </rPr>
      <t>λ/8</t>
    </r>
  </si>
  <si>
    <r>
      <t>p=</t>
    </r>
    <r>
      <rPr>
        <b/>
        <sz val="11"/>
        <rFont val="Calibri"/>
        <family val="2"/>
      </rPr>
      <t>λ/4</t>
    </r>
  </si>
  <si>
    <t>p=λ/4</t>
  </si>
  <si>
    <t>CV distanta rotor / stator [mm]</t>
  </si>
  <si>
    <r>
      <t>Aluminiu p=</t>
    </r>
    <r>
      <rPr>
        <b/>
        <sz val="11"/>
        <rFont val="Calibri"/>
        <family val="2"/>
      </rPr>
      <t>λ/8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</si>
</sst>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5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2.1"/>
      <color theme="1"/>
      <name val="Calibri"/>
      <family val="2"/>
    </font>
    <font>
      <b/>
      <vertAlign val="superscript"/>
      <sz val="12.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5FDB9"/>
        <bgColor indexed="64"/>
      </patternFill>
    </fill>
    <fill>
      <patternFill patternType="solid">
        <fgColor rgb="FFBBFBB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14" xfId="0" applyBorder="1"/>
    <xf numFmtId="0" fontId="0" fillId="0" borderId="0" xfId="0" applyBorder="1"/>
    <xf numFmtId="0" fontId="2" fillId="0" borderId="0" xfId="0" applyFont="1" applyBorder="1"/>
    <xf numFmtId="0" fontId="0" fillId="0" borderId="15" xfId="0" applyBorder="1"/>
    <xf numFmtId="0" fontId="2" fillId="0" borderId="14" xfId="0" applyFont="1" applyBorder="1"/>
    <xf numFmtId="0" fontId="1" fillId="0" borderId="17" xfId="1" applyFill="1" applyBorder="1"/>
    <xf numFmtId="0" fontId="0" fillId="0" borderId="17" xfId="0" applyBorder="1"/>
    <xf numFmtId="0" fontId="1" fillId="2" borderId="11" xfId="1" applyBorder="1"/>
    <xf numFmtId="0" fontId="1" fillId="2" borderId="12" xfId="1" applyBorder="1"/>
    <xf numFmtId="0" fontId="1" fillId="2" borderId="13" xfId="1" applyBorder="1"/>
    <xf numFmtId="0" fontId="1" fillId="2" borderId="14" xfId="1" applyBorder="1"/>
    <xf numFmtId="0" fontId="1" fillId="2" borderId="0" xfId="1" applyBorder="1"/>
    <xf numFmtId="0" fontId="1" fillId="2" borderId="15" xfId="1" applyBorder="1"/>
    <xf numFmtId="0" fontId="1" fillId="2" borderId="16" xfId="1" applyBorder="1"/>
    <xf numFmtId="0" fontId="1" fillId="2" borderId="17" xfId="1" applyBorder="1"/>
    <xf numFmtId="0" fontId="1" fillId="2" borderId="18" xfId="1" applyBorder="1"/>
    <xf numFmtId="0" fontId="8" fillId="2" borderId="17" xfId="1" applyFont="1" applyBorder="1" applyAlignment="1">
      <alignment horizontal="center"/>
    </xf>
    <xf numFmtId="164" fontId="0" fillId="4" borderId="2" xfId="0" applyNumberFormat="1" applyFill="1" applyBorder="1" applyProtection="1"/>
    <xf numFmtId="2" fontId="0" fillId="3" borderId="1" xfId="0" applyNumberFormat="1" applyFill="1" applyBorder="1" applyProtection="1"/>
    <xf numFmtId="165" fontId="0" fillId="3" borderId="4" xfId="0" applyNumberFormat="1" applyFill="1" applyBorder="1" applyProtection="1"/>
    <xf numFmtId="165" fontId="0" fillId="3" borderId="2" xfId="0" applyNumberFormat="1" applyFill="1" applyBorder="1" applyProtection="1"/>
    <xf numFmtId="1" fontId="0" fillId="3" borderId="2" xfId="0" applyNumberFormat="1" applyFill="1" applyBorder="1" applyProtection="1"/>
    <xf numFmtId="2" fontId="0" fillId="3" borderId="2" xfId="0" applyNumberFormat="1" applyFill="1" applyBorder="1" applyProtection="1"/>
    <xf numFmtId="1" fontId="0" fillId="3" borderId="5" xfId="0" applyNumberFormat="1" applyFill="1" applyBorder="1" applyProtection="1"/>
    <xf numFmtId="164" fontId="0" fillId="3" borderId="3" xfId="0" applyNumberFormat="1" applyFill="1" applyBorder="1" applyProtection="1"/>
    <xf numFmtId="0" fontId="7" fillId="4" borderId="6" xfId="0" applyFont="1" applyFill="1" applyBorder="1" applyProtection="1"/>
    <xf numFmtId="0" fontId="7" fillId="4" borderId="8" xfId="0" applyFont="1" applyFill="1" applyBorder="1" applyProtection="1">
      <protection locked="0"/>
    </xf>
    <xf numFmtId="0" fontId="7" fillId="4" borderId="9" xfId="0" applyFont="1" applyFill="1" applyBorder="1" applyProtection="1">
      <protection locked="0"/>
    </xf>
    <xf numFmtId="2" fontId="0" fillId="4" borderId="1" xfId="0" applyNumberFormat="1" applyFill="1" applyBorder="1" applyProtection="1"/>
    <xf numFmtId="1" fontId="0" fillId="4" borderId="3" xfId="0" applyNumberFormat="1" applyFill="1" applyBorder="1" applyProtection="1"/>
    <xf numFmtId="164" fontId="0" fillId="3" borderId="2" xfId="0" applyNumberFormat="1" applyFill="1" applyBorder="1" applyProtection="1"/>
    <xf numFmtId="164" fontId="0" fillId="4" borderId="1" xfId="0" applyNumberFormat="1" applyFill="1" applyBorder="1" applyProtection="1"/>
    <xf numFmtId="0" fontId="0" fillId="0" borderId="0" xfId="0" applyBorder="1" applyProtection="1"/>
    <xf numFmtId="0" fontId="0" fillId="0" borderId="15" xfId="0" applyBorder="1" applyProtection="1"/>
    <xf numFmtId="0" fontId="2" fillId="0" borderId="0" xfId="0" applyFont="1" applyBorder="1" applyProtection="1"/>
    <xf numFmtId="0" fontId="0" fillId="0" borderId="20" xfId="0" applyBorder="1"/>
    <xf numFmtId="0" fontId="0" fillId="0" borderId="23" xfId="0" applyBorder="1"/>
    <xf numFmtId="0" fontId="0" fillId="0" borderId="25" xfId="0" applyBorder="1"/>
    <xf numFmtId="0" fontId="2" fillId="4" borderId="2" xfId="0" applyFont="1" applyFill="1" applyBorder="1"/>
    <xf numFmtId="0" fontId="8" fillId="2" borderId="0" xfId="1" applyFont="1" applyBorder="1" applyAlignment="1">
      <alignment horizontal="center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6" xfId="0" applyFill="1" applyBorder="1" applyProtection="1"/>
    <xf numFmtId="164" fontId="0" fillId="5" borderId="7" xfId="0" applyNumberFormat="1" applyFill="1" applyBorder="1" applyProtection="1"/>
    <xf numFmtId="164" fontId="0" fillId="5" borderId="2" xfId="0" applyNumberFormat="1" applyFill="1" applyBorder="1" applyProtection="1"/>
    <xf numFmtId="1" fontId="0" fillId="5" borderId="3" xfId="0" applyNumberFormat="1" applyFill="1" applyBorder="1" applyProtection="1"/>
    <xf numFmtId="2" fontId="0" fillId="5" borderId="1" xfId="0" applyNumberFormat="1" applyFill="1" applyBorder="1" applyProtection="1"/>
    <xf numFmtId="165" fontId="0" fillId="5" borderId="4" xfId="0" applyNumberFormat="1" applyFill="1" applyBorder="1" applyProtection="1"/>
    <xf numFmtId="165" fontId="0" fillId="5" borderId="2" xfId="0" applyNumberFormat="1" applyFill="1" applyBorder="1" applyProtection="1"/>
    <xf numFmtId="1" fontId="0" fillId="5" borderId="2" xfId="0" applyNumberFormat="1" applyFill="1" applyBorder="1" applyProtection="1"/>
    <xf numFmtId="2" fontId="0" fillId="5" borderId="2" xfId="0" applyNumberFormat="1" applyFill="1" applyBorder="1" applyProtection="1"/>
    <xf numFmtId="1" fontId="0" fillId="5" borderId="5" xfId="0" applyNumberFormat="1" applyFill="1" applyBorder="1" applyProtection="1"/>
    <xf numFmtId="164" fontId="0" fillId="5" borderId="3" xfId="0" applyNumberFormat="1" applyFill="1" applyBorder="1" applyProtection="1"/>
    <xf numFmtId="164" fontId="0" fillId="5" borderId="1" xfId="0" applyNumberFormat="1" applyFill="1" applyBorder="1" applyProtection="1"/>
    <xf numFmtId="0" fontId="2" fillId="5" borderId="24" xfId="0" applyFont="1" applyFill="1" applyBorder="1"/>
    <xf numFmtId="0" fontId="2" fillId="5" borderId="21" xfId="0" applyFont="1" applyFill="1" applyBorder="1"/>
    <xf numFmtId="0" fontId="2" fillId="5" borderId="19" xfId="0" applyFont="1" applyFill="1" applyBorder="1"/>
    <xf numFmtId="2" fontId="2" fillId="5" borderId="24" xfId="0" applyNumberFormat="1" applyFont="1" applyFill="1" applyBorder="1"/>
    <xf numFmtId="0" fontId="2" fillId="5" borderId="26" xfId="0" applyFont="1" applyFill="1" applyBorder="1"/>
    <xf numFmtId="164" fontId="2" fillId="5" borderId="27" xfId="0" applyNumberFormat="1" applyFont="1" applyFill="1" applyBorder="1"/>
    <xf numFmtId="164" fontId="2" fillId="5" borderId="24" xfId="0" applyNumberFormat="1" applyFont="1" applyFill="1" applyBorder="1"/>
    <xf numFmtId="164" fontId="0" fillId="3" borderId="1" xfId="0" applyNumberFormat="1" applyFill="1" applyBorder="1" applyProtection="1"/>
    <xf numFmtId="0" fontId="0" fillId="6" borderId="28" xfId="0" applyFill="1" applyBorder="1" applyProtection="1"/>
    <xf numFmtId="0" fontId="0" fillId="6" borderId="29" xfId="0" applyFill="1" applyBorder="1" applyProtection="1"/>
    <xf numFmtId="0" fontId="0" fillId="6" borderId="6" xfId="0" applyFill="1" applyBorder="1" applyProtection="1"/>
    <xf numFmtId="0" fontId="0" fillId="0" borderId="14" xfId="0" applyFill="1" applyBorder="1"/>
    <xf numFmtId="0" fontId="7" fillId="4" borderId="20" xfId="0" applyFont="1" applyFill="1" applyBorder="1" applyProtection="1">
      <protection locked="0"/>
    </xf>
    <xf numFmtId="0" fontId="0" fillId="5" borderId="22" xfId="0" applyFill="1" applyBorder="1" applyProtection="1">
      <protection locked="0"/>
    </xf>
    <xf numFmtId="0" fontId="7" fillId="4" borderId="23" xfId="0" applyFont="1" applyFill="1" applyBorder="1" applyProtection="1">
      <protection locked="0"/>
    </xf>
    <xf numFmtId="0" fontId="0" fillId="5" borderId="24" xfId="0" applyFill="1" applyBorder="1" applyProtection="1">
      <protection locked="0"/>
    </xf>
    <xf numFmtId="164" fontId="0" fillId="3" borderId="23" xfId="0" applyNumberFormat="1" applyFill="1" applyBorder="1"/>
    <xf numFmtId="164" fontId="0" fillId="5" borderId="24" xfId="0" applyNumberFormat="1" applyFill="1" applyBorder="1"/>
    <xf numFmtId="165" fontId="0" fillId="5" borderId="30" xfId="0" applyNumberFormat="1" applyFill="1" applyBorder="1" applyProtection="1"/>
    <xf numFmtId="1" fontId="0" fillId="5" borderId="30" xfId="0" applyNumberFormat="1" applyFill="1" applyBorder="1" applyProtection="1"/>
    <xf numFmtId="164" fontId="0" fillId="5" borderId="30" xfId="0" applyNumberFormat="1" applyFill="1" applyBorder="1" applyProtection="1"/>
    <xf numFmtId="2" fontId="0" fillId="5" borderId="30" xfId="0" applyNumberFormat="1" applyFill="1" applyBorder="1" applyProtection="1"/>
    <xf numFmtId="1" fontId="0" fillId="5" borderId="31" xfId="0" applyNumberFormat="1" applyFill="1" applyBorder="1" applyProtection="1"/>
    <xf numFmtId="164" fontId="0" fillId="5" borderId="32" xfId="0" applyNumberFormat="1" applyFill="1" applyBorder="1" applyProtection="1"/>
    <xf numFmtId="2" fontId="0" fillId="5" borderId="13" xfId="0" applyNumberFormat="1" applyFill="1" applyBorder="1"/>
    <xf numFmtId="2" fontId="0" fillId="3" borderId="7" xfId="0" applyNumberFormat="1" applyFill="1" applyBorder="1"/>
    <xf numFmtId="0" fontId="7" fillId="6" borderId="28" xfId="0" applyFont="1" applyFill="1" applyBorder="1" applyProtection="1"/>
    <xf numFmtId="0" fontId="7" fillId="6" borderId="29" xfId="0" applyFont="1" applyFill="1" applyBorder="1" applyProtection="1"/>
    <xf numFmtId="0" fontId="7" fillId="4" borderId="10" xfId="0" applyFont="1" applyFill="1" applyBorder="1" applyProtection="1"/>
    <xf numFmtId="0" fontId="0" fillId="5" borderId="3" xfId="0" applyFill="1" applyBorder="1" applyProtection="1"/>
    <xf numFmtId="0" fontId="0" fillId="0" borderId="0" xfId="0" applyProtection="1">
      <protection locked="0"/>
    </xf>
    <xf numFmtId="0" fontId="0" fillId="3" borderId="33" xfId="0" applyFill="1" applyBorder="1" applyProtection="1">
      <protection locked="0"/>
    </xf>
    <xf numFmtId="0" fontId="0" fillId="5" borderId="34" xfId="0" applyFill="1" applyBorder="1" applyProtection="1">
      <protection locked="0"/>
    </xf>
    <xf numFmtId="0" fontId="2" fillId="5" borderId="22" xfId="0" applyFont="1" applyFill="1" applyBorder="1" applyProtection="1">
      <protection locked="0"/>
    </xf>
    <xf numFmtId="0" fontId="7" fillId="4" borderId="33" xfId="0" applyFont="1" applyFill="1" applyBorder="1" applyProtection="1">
      <protection locked="0"/>
    </xf>
    <xf numFmtId="0" fontId="2" fillId="5" borderId="22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164" fontId="0" fillId="3" borderId="23" xfId="0" applyNumberFormat="1" applyFill="1" applyBorder="1" applyProtection="1"/>
    <xf numFmtId="164" fontId="0" fillId="5" borderId="24" xfId="0" applyNumberFormat="1" applyFill="1" applyBorder="1" applyProtection="1"/>
    <xf numFmtId="0" fontId="2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8" fillId="0" borderId="16" xfId="1" applyFont="1" applyFill="1" applyBorder="1" applyAlignment="1">
      <alignment horizontal="center"/>
    </xf>
    <xf numFmtId="164" fontId="2" fillId="5" borderId="2" xfId="0" applyNumberFormat="1" applyFont="1" applyFill="1" applyBorder="1"/>
    <xf numFmtId="164" fontId="2" fillId="3" borderId="2" xfId="0" applyNumberFormat="1" applyFont="1" applyFill="1" applyBorder="1"/>
    <xf numFmtId="164" fontId="5" fillId="3" borderId="1" xfId="0" applyNumberFormat="1" applyFont="1" applyFill="1" applyBorder="1"/>
    <xf numFmtId="164" fontId="5" fillId="3" borderId="3" xfId="0" applyNumberFormat="1" applyFont="1" applyFill="1" applyBorder="1"/>
    <xf numFmtId="164" fontId="5" fillId="5" borderId="1" xfId="0" applyNumberFormat="1" applyFont="1" applyFill="1" applyBorder="1"/>
    <xf numFmtId="164" fontId="5" fillId="5" borderId="3" xfId="0" applyNumberFormat="1" applyFont="1" applyFill="1" applyBorder="1"/>
    <xf numFmtId="165" fontId="8" fillId="3" borderId="1" xfId="0" applyNumberFormat="1" applyFont="1" applyFill="1" applyBorder="1"/>
    <xf numFmtId="165" fontId="8" fillId="5" borderId="3" xfId="1" applyNumberFormat="1" applyFont="1" applyFill="1" applyBorder="1"/>
    <xf numFmtId="0" fontId="5" fillId="0" borderId="14" xfId="0" applyFont="1" applyBorder="1"/>
    <xf numFmtId="0" fontId="1" fillId="7" borderId="17" xfId="1" applyFill="1" applyBorder="1"/>
    <xf numFmtId="0" fontId="7" fillId="4" borderId="2" xfId="0" applyFont="1" applyFill="1" applyBorder="1" applyProtection="1">
      <protection locked="0"/>
    </xf>
    <xf numFmtId="0" fontId="7" fillId="4" borderId="3" xfId="0" applyFont="1" applyFill="1" applyBorder="1" applyProtection="1"/>
    <xf numFmtId="0" fontId="7" fillId="6" borderId="8" xfId="0" applyFont="1" applyFill="1" applyBorder="1" applyProtection="1">
      <protection locked="0"/>
    </xf>
    <xf numFmtId="0" fontId="7" fillId="6" borderId="1" xfId="0" applyFont="1" applyFill="1" applyBorder="1" applyProtection="1">
      <protection locked="0"/>
    </xf>
    <xf numFmtId="0" fontId="2" fillId="6" borderId="6" xfId="0" applyFont="1" applyFill="1" applyBorder="1" applyAlignment="1">
      <alignment horizontal="center"/>
    </xf>
    <xf numFmtId="165" fontId="8" fillId="3" borderId="6" xfId="0" applyNumberFormat="1" applyFont="1" applyFill="1" applyBorder="1"/>
    <xf numFmtId="0" fontId="0" fillId="0" borderId="16" xfId="0" applyBorder="1"/>
  </cellXfs>
  <cellStyles count="2">
    <cellStyle name="Neutral" xfId="1" builtinId="28"/>
    <cellStyle name="Normal" xfId="0" builtinId="0"/>
  </cellStyles>
  <dxfs count="0"/>
  <tableStyles count="0" defaultTableStyle="TableStyleMedium9" defaultPivotStyle="PivotStyleLight16"/>
  <colors>
    <mruColors>
      <color rgb="FFFFFFCC"/>
      <color rgb="FFD5FDB9"/>
      <color rgb="FFBBFBBD"/>
      <color rgb="FF00FF00"/>
      <color rgb="FF22F22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16" workbookViewId="0">
      <selection activeCell="C52" sqref="C52"/>
    </sheetView>
  </sheetViews>
  <sheetFormatPr defaultRowHeight="15"/>
  <sheetData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oleObjects>
    <oleObject progId="Visio.Drawing.11" shapeId="1126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S31"/>
  <sheetViews>
    <sheetView zoomScaleNormal="100" workbookViewId="0">
      <selection activeCell="D28" activeCellId="1" sqref="C5:D8 D28"/>
    </sheetView>
  </sheetViews>
  <sheetFormatPr defaultRowHeight="15"/>
  <cols>
    <col min="2" max="2" width="28.85546875" customWidth="1"/>
    <col min="3" max="3" width="13.42578125" customWidth="1"/>
    <col min="4" max="4" width="13.28515625" customWidth="1"/>
    <col min="5" max="5" width="35.7109375" customWidth="1"/>
    <col min="6" max="6" width="13.140625" customWidth="1"/>
    <col min="7" max="7" width="13.42578125" customWidth="1"/>
  </cols>
  <sheetData>
    <row r="1" spans="1:8">
      <c r="A1" s="12"/>
      <c r="B1" s="13"/>
      <c r="C1" s="13"/>
      <c r="D1" s="13"/>
      <c r="E1" s="13"/>
      <c r="F1" s="13"/>
      <c r="G1" s="13"/>
      <c r="H1" s="14"/>
    </row>
    <row r="2" spans="1:8" ht="15.75" thickBot="1">
      <c r="A2" s="15"/>
      <c r="B2" s="16"/>
      <c r="C2" s="16"/>
      <c r="D2" s="16"/>
      <c r="E2" s="16"/>
      <c r="F2" s="16"/>
      <c r="G2" s="16"/>
      <c r="H2" s="17"/>
    </row>
    <row r="3" spans="1:8">
      <c r="A3" s="15"/>
      <c r="B3" s="2" t="s">
        <v>5</v>
      </c>
      <c r="C3" s="3" t="s">
        <v>30</v>
      </c>
      <c r="D3" s="3" t="s">
        <v>31</v>
      </c>
      <c r="E3" s="3" t="s">
        <v>7</v>
      </c>
      <c r="F3" s="3" t="s">
        <v>30</v>
      </c>
      <c r="G3" s="4" t="s">
        <v>31</v>
      </c>
      <c r="H3" s="17"/>
    </row>
    <row r="4" spans="1:8" ht="15.75" thickBot="1">
      <c r="A4" s="15"/>
      <c r="B4" s="5"/>
      <c r="C4" s="6"/>
      <c r="D4" s="6"/>
      <c r="E4" s="7" t="s">
        <v>9</v>
      </c>
      <c r="F4" s="6"/>
      <c r="G4" s="8"/>
      <c r="H4" s="17"/>
    </row>
    <row r="5" spans="1:8">
      <c r="A5" s="15"/>
      <c r="B5" s="5" t="s">
        <v>0</v>
      </c>
      <c r="C5" s="31">
        <v>14</v>
      </c>
      <c r="D5" s="45">
        <v>14</v>
      </c>
      <c r="E5" s="6" t="s">
        <v>10</v>
      </c>
      <c r="F5" s="36">
        <f>F6*4</f>
        <v>2.8284271247461898</v>
      </c>
      <c r="G5" s="48">
        <f>G6*4</f>
        <v>2.8284271247461898</v>
      </c>
      <c r="H5" s="17"/>
    </row>
    <row r="6" spans="1:8">
      <c r="A6" s="15"/>
      <c r="B6" s="5" t="s">
        <v>78</v>
      </c>
      <c r="C6" s="32">
        <v>1</v>
      </c>
      <c r="D6" s="46">
        <v>1</v>
      </c>
      <c r="E6" s="6" t="s">
        <v>11</v>
      </c>
      <c r="F6" s="22">
        <f>C6/(2^0.5)</f>
        <v>0.70710678118654746</v>
      </c>
      <c r="G6" s="49">
        <f>D6/(2^0.5)</f>
        <v>0.70710678118654746</v>
      </c>
      <c r="H6" s="17"/>
    </row>
    <row r="7" spans="1:8" ht="17.25">
      <c r="A7" s="15"/>
      <c r="B7" s="5" t="s">
        <v>2</v>
      </c>
      <c r="C7" s="32">
        <v>22</v>
      </c>
      <c r="D7" s="46">
        <v>25</v>
      </c>
      <c r="E7" s="6" t="s">
        <v>12</v>
      </c>
      <c r="F7" s="22">
        <f>F6^2</f>
        <v>0.49999999999999989</v>
      </c>
      <c r="G7" s="49">
        <f>G6^2</f>
        <v>0.49999999999999989</v>
      </c>
      <c r="H7" s="17"/>
    </row>
    <row r="8" spans="1:8" ht="15.75" thickBot="1">
      <c r="A8" s="15"/>
      <c r="B8" s="5" t="s">
        <v>3</v>
      </c>
      <c r="C8" s="32">
        <v>100</v>
      </c>
      <c r="D8" s="46">
        <v>100</v>
      </c>
      <c r="E8" s="6" t="s">
        <v>27</v>
      </c>
      <c r="F8" s="34">
        <f>C6/5*100</f>
        <v>20</v>
      </c>
      <c r="G8" s="50">
        <f>D6/5*100</f>
        <v>20</v>
      </c>
      <c r="H8" s="17"/>
    </row>
    <row r="9" spans="1:8" ht="15.75" thickBot="1">
      <c r="A9" s="15"/>
      <c r="B9" s="5" t="s">
        <v>4</v>
      </c>
      <c r="C9" s="87">
        <f>1</f>
        <v>1</v>
      </c>
      <c r="D9" s="88">
        <f>1</f>
        <v>1</v>
      </c>
      <c r="E9" s="7" t="s">
        <v>13</v>
      </c>
      <c r="F9" s="37"/>
      <c r="G9" s="38"/>
      <c r="H9" s="17"/>
    </row>
    <row r="10" spans="1:8">
      <c r="A10" s="15"/>
      <c r="B10" s="5"/>
      <c r="C10" s="6"/>
      <c r="D10" s="6"/>
      <c r="E10" s="6" t="s">
        <v>14</v>
      </c>
      <c r="F10" s="23">
        <f>(0.008*(F6*100))*(LN((1.4142*(F6*100))/(2*(C7/10)))+0.37942+((0.6666*(C7/10))/(F6*100)))</f>
        <v>1.9933146582437877</v>
      </c>
      <c r="G10" s="51">
        <f>(0.008*(G6*100))*(LN((1.4142*(G6*100))/(2*(D7/10)))+0.37942+((0.6666*(D7/10))/(G6*100)))</f>
        <v>1.9226010231585249</v>
      </c>
      <c r="H10" s="17"/>
    </row>
    <row r="11" spans="1:8">
      <c r="A11" s="15"/>
      <c r="B11" s="9" t="s">
        <v>6</v>
      </c>
      <c r="C11" s="39" t="s">
        <v>30</v>
      </c>
      <c r="D11" s="39" t="s">
        <v>31</v>
      </c>
      <c r="E11" s="6" t="s">
        <v>15</v>
      </c>
      <c r="F11" s="24">
        <f>25330/((C5^2)*F10)</f>
        <v>64.83406588271086</v>
      </c>
      <c r="G11" s="52">
        <f>25330/((D5^2)*G10)</f>
        <v>67.218675284609574</v>
      </c>
      <c r="H11" s="17"/>
    </row>
    <row r="12" spans="1:8" ht="18.75" thickBot="1">
      <c r="A12" s="15"/>
      <c r="B12" s="9" t="s">
        <v>8</v>
      </c>
      <c r="C12" s="39" t="s">
        <v>33</v>
      </c>
      <c r="D12" s="39" t="s">
        <v>32</v>
      </c>
      <c r="E12" s="6" t="s">
        <v>16</v>
      </c>
      <c r="F12" s="25">
        <f>2.69*F5</f>
        <v>7.6084689655672504</v>
      </c>
      <c r="G12" s="53">
        <f>2.69*G5</f>
        <v>7.6084689655672504</v>
      </c>
      <c r="H12" s="17"/>
    </row>
    <row r="13" spans="1:8" ht="18.75" thickBot="1">
      <c r="A13" s="15"/>
      <c r="B13" s="5"/>
      <c r="C13" s="30">
        <f>5.8*10^7</f>
        <v>58000000</v>
      </c>
      <c r="D13" s="47">
        <f>3.5*10^7</f>
        <v>35000000</v>
      </c>
      <c r="E13" s="6" t="s">
        <v>17</v>
      </c>
      <c r="F13" s="25">
        <f>F11-F12</f>
        <v>57.225596917143612</v>
      </c>
      <c r="G13" s="53">
        <f>G11-G12</f>
        <v>59.610206319042327</v>
      </c>
      <c r="H13" s="17"/>
    </row>
    <row r="14" spans="1:8" ht="18">
      <c r="A14" s="15"/>
      <c r="B14" s="5"/>
      <c r="C14" s="6"/>
      <c r="D14" s="6"/>
      <c r="E14" s="6" t="s">
        <v>18</v>
      </c>
      <c r="F14" s="26">
        <f>10^6/(2*PI()*C5*F11)</f>
        <v>175.34316359883269</v>
      </c>
      <c r="G14" s="54">
        <f>10^6/(2*PI()*D5*G11)</f>
        <v>169.12279471018581</v>
      </c>
      <c r="H14" s="17"/>
    </row>
    <row r="15" spans="1:8" ht="18.75" thickBot="1">
      <c r="A15" s="15"/>
      <c r="B15" s="98" t="s">
        <v>80</v>
      </c>
      <c r="C15" s="6"/>
      <c r="D15" s="6"/>
      <c r="E15" s="6" t="s">
        <v>19</v>
      </c>
      <c r="F15" s="35">
        <f>31171*(F7/((300/C5)^2))^2</f>
        <v>3.6958800493827153E-2</v>
      </c>
      <c r="G15" s="49">
        <f>31171*(G7/((300/D5)^2))^2</f>
        <v>3.6958800493827153E-2</v>
      </c>
      <c r="H15" s="17"/>
    </row>
    <row r="16" spans="1:8" ht="18">
      <c r="A16" s="15"/>
      <c r="B16" s="99" t="s">
        <v>82</v>
      </c>
      <c r="C16" s="104">
        <f>(300/C5)/8</f>
        <v>2.6785714285714284</v>
      </c>
      <c r="D16" s="6"/>
      <c r="E16" s="6" t="s">
        <v>20</v>
      </c>
      <c r="F16" s="35">
        <f>((2*F5/(C7/1000))*SQRT(((C5)/10)/(C13*10^-6)))/1000</f>
        <v>3.9948670400185557E-2</v>
      </c>
      <c r="G16" s="49">
        <f>((2*G5/(D7/1000))*SQRT(((D5)/10)/(D13*10^-6)))/1000</f>
        <v>4.5254833995939041E-2</v>
      </c>
      <c r="H16" s="17"/>
    </row>
    <row r="17" spans="1:19">
      <c r="A17" s="15"/>
      <c r="B17" s="100" t="s">
        <v>81</v>
      </c>
      <c r="C17" s="103">
        <f>F5</f>
        <v>2.8284271247461898</v>
      </c>
      <c r="D17" s="6"/>
      <c r="E17" s="6" t="s">
        <v>21</v>
      </c>
      <c r="F17" s="26">
        <f>(F15/(F15+F16))*100</f>
        <v>48.056190203888789</v>
      </c>
      <c r="G17" s="54">
        <f>(G15/(G15+G16))*100</f>
        <v>44.954587792159607</v>
      </c>
      <c r="H17" s="17"/>
    </row>
    <row r="18" spans="1:19" ht="15.75" thickBot="1">
      <c r="A18" s="15"/>
      <c r="B18" s="99" t="s">
        <v>83</v>
      </c>
      <c r="C18" s="105">
        <f>(300/C5)/4</f>
        <v>5.3571428571428568</v>
      </c>
      <c r="D18" s="6"/>
      <c r="E18" s="6" t="s">
        <v>28</v>
      </c>
      <c r="F18" s="27">
        <f>10*LOG(F17/100)</f>
        <v>-3.1825066214244195</v>
      </c>
      <c r="G18" s="55">
        <f>10*LOG(G17/100)</f>
        <v>-3.4722598021224824</v>
      </c>
      <c r="H18" s="17"/>
    </row>
    <row r="19" spans="1:19">
      <c r="A19" s="15"/>
      <c r="B19" s="99" t="s">
        <v>86</v>
      </c>
      <c r="C19" s="6"/>
      <c r="D19" s="106">
        <f>(300/D5)/8</f>
        <v>2.6785714285714284</v>
      </c>
      <c r="E19" s="6" t="s">
        <v>22</v>
      </c>
      <c r="F19" s="26">
        <f>F14/(2*(F15+F16))</f>
        <v>1139.9618370006967</v>
      </c>
      <c r="G19" s="54">
        <f>G14/(2*(G15+G16))</f>
        <v>1028.5568553184321</v>
      </c>
      <c r="H19" s="17"/>
    </row>
    <row r="20" spans="1:19">
      <c r="A20" s="15"/>
      <c r="B20" s="100" t="s">
        <v>81</v>
      </c>
      <c r="C20" s="6"/>
      <c r="D20" s="102">
        <f>G5</f>
        <v>2.8284271247461898</v>
      </c>
      <c r="E20" s="6" t="s">
        <v>23</v>
      </c>
      <c r="F20" s="26">
        <f>1000*(C5/F19)</f>
        <v>12.281112880791502</v>
      </c>
      <c r="G20" s="54">
        <f>1000*(D5/G19)</f>
        <v>13.611303962060244</v>
      </c>
      <c r="H20" s="17"/>
    </row>
    <row r="21" spans="1:19" ht="18.75" thickBot="1">
      <c r="A21" s="15"/>
      <c r="B21" s="99" t="s">
        <v>84</v>
      </c>
      <c r="C21" s="6"/>
      <c r="D21" s="107">
        <f>(300/D5)/4</f>
        <v>5.3571428571428568</v>
      </c>
      <c r="E21" s="6" t="s">
        <v>24</v>
      </c>
      <c r="F21" s="26">
        <f>SQRT(C8*F14*F19)</f>
        <v>4470.8446056829016</v>
      </c>
      <c r="G21" s="54">
        <f>SQRT(D8*G14*G19)</f>
        <v>4170.7602411283897</v>
      </c>
      <c r="H21" s="17"/>
    </row>
    <row r="22" spans="1:19" ht="18.75" thickBot="1">
      <c r="A22" s="15"/>
      <c r="B22" s="99" t="s">
        <v>85</v>
      </c>
      <c r="C22" s="6"/>
      <c r="D22" s="6"/>
      <c r="E22" s="6" t="s">
        <v>25</v>
      </c>
      <c r="F22" s="26">
        <f>1.41*F21</f>
        <v>6303.8908940128913</v>
      </c>
      <c r="G22" s="54">
        <f>1.41*G21</f>
        <v>5880.7719399910293</v>
      </c>
      <c r="H22" s="17"/>
      <c r="S22" s="89"/>
    </row>
    <row r="23" spans="1:19">
      <c r="A23" s="15"/>
      <c r="B23" s="99" t="s">
        <v>30</v>
      </c>
      <c r="C23" s="108">
        <f>F21/1000</f>
        <v>4.4708446056829017</v>
      </c>
      <c r="D23" s="6"/>
      <c r="E23" s="6" t="s">
        <v>26</v>
      </c>
      <c r="F23" s="28">
        <f>SQRT((C8*F19)/F14)</f>
        <v>25.497684163562482</v>
      </c>
      <c r="G23" s="56">
        <f>SQRT((D8*G19)/G14)</f>
        <v>24.661136000475498</v>
      </c>
      <c r="H23" s="17"/>
    </row>
    <row r="24" spans="1:19" ht="15.75" thickBot="1">
      <c r="A24" s="15"/>
      <c r="B24" s="101" t="s">
        <v>31</v>
      </c>
      <c r="C24" s="109">
        <f>G21/1000</f>
        <v>4.1707602411283897</v>
      </c>
      <c r="D24" s="10"/>
      <c r="E24" s="11" t="s">
        <v>29</v>
      </c>
      <c r="F24" s="29">
        <f>(0.0661*(1/SQRT(C5)))</f>
        <v>1.7665968090411256E-2</v>
      </c>
      <c r="G24" s="57">
        <f>(0.0851*(1/SQRT(D5)))</f>
        <v>2.2743931686747314E-2</v>
      </c>
      <c r="H24" s="17"/>
    </row>
    <row r="25" spans="1:19">
      <c r="A25" s="15"/>
      <c r="B25" s="16"/>
      <c r="C25" s="16"/>
      <c r="D25" s="16"/>
      <c r="E25" s="16"/>
      <c r="F25" s="16"/>
      <c r="G25" s="16"/>
      <c r="H25" s="17"/>
    </row>
    <row r="26" spans="1:19" ht="15.75" thickBot="1">
      <c r="A26" s="18"/>
      <c r="B26" s="21" t="s">
        <v>34</v>
      </c>
      <c r="C26" s="19"/>
      <c r="D26" s="19"/>
      <c r="E26" s="21" t="s">
        <v>35</v>
      </c>
      <c r="F26" s="19"/>
      <c r="G26" s="19"/>
      <c r="H26" s="20"/>
    </row>
    <row r="27" spans="1:19" ht="15.75" thickBot="1">
      <c r="B27" s="1" t="s">
        <v>55</v>
      </c>
    </row>
    <row r="28" spans="1:19">
      <c r="B28" s="40" t="s">
        <v>77</v>
      </c>
      <c r="C28" s="60" t="s">
        <v>44</v>
      </c>
      <c r="D28" s="94">
        <v>2</v>
      </c>
    </row>
    <row r="29" spans="1:19">
      <c r="B29" s="41" t="s">
        <v>51</v>
      </c>
      <c r="C29" s="61" t="s">
        <v>52</v>
      </c>
      <c r="D29" s="65">
        <f>D28/SQRT(2)</f>
        <v>1.4142135623730949</v>
      </c>
    </row>
    <row r="30" spans="1:19" ht="15.75">
      <c r="B30" s="41" t="s">
        <v>41</v>
      </c>
      <c r="C30" s="61" t="s">
        <v>53</v>
      </c>
      <c r="D30" s="65">
        <f>4*(D28/SQRT(2))</f>
        <v>5.6568542494923797</v>
      </c>
    </row>
    <row r="31" spans="1:19" ht="18" thickBot="1">
      <c r="B31" s="42" t="s">
        <v>42</v>
      </c>
      <c r="C31" s="63" t="s">
        <v>54</v>
      </c>
      <c r="D31" s="64">
        <f>(D28)^2/2</f>
        <v>2</v>
      </c>
    </row>
  </sheetData>
  <sheetProtection password="CF6F" sheet="1" objects="1" scenarios="1" selectLockedCell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"/>
  <sheetViews>
    <sheetView zoomScaleNormal="100" workbookViewId="0">
      <selection activeCell="D28" activeCellId="1" sqref="C5:D8 D28"/>
    </sheetView>
  </sheetViews>
  <sheetFormatPr defaultRowHeight="15"/>
  <cols>
    <col min="2" max="2" width="28.7109375" customWidth="1"/>
    <col min="3" max="3" width="14.140625" customWidth="1"/>
    <col min="4" max="4" width="13.7109375" customWidth="1"/>
    <col min="5" max="5" width="34.140625" customWidth="1"/>
    <col min="6" max="6" width="8.7109375" customWidth="1"/>
    <col min="7" max="7" width="9" customWidth="1"/>
  </cols>
  <sheetData>
    <row r="1" spans="1:8">
      <c r="A1" s="12"/>
      <c r="B1" s="13"/>
      <c r="C1" s="13"/>
      <c r="D1" s="13"/>
      <c r="E1" s="13"/>
      <c r="F1" s="13"/>
      <c r="G1" s="13"/>
      <c r="H1" s="14"/>
    </row>
    <row r="2" spans="1:8" ht="15.75" thickBot="1">
      <c r="A2" s="15"/>
      <c r="B2" s="16"/>
      <c r="C2" s="16"/>
      <c r="D2" s="16"/>
      <c r="E2" s="16"/>
      <c r="F2" s="16"/>
      <c r="G2" s="16"/>
      <c r="H2" s="17"/>
    </row>
    <row r="3" spans="1:8">
      <c r="A3" s="15"/>
      <c r="B3" s="2" t="s">
        <v>5</v>
      </c>
      <c r="C3" s="3" t="s">
        <v>30</v>
      </c>
      <c r="D3" s="3" t="s">
        <v>31</v>
      </c>
      <c r="E3" s="3" t="s">
        <v>7</v>
      </c>
      <c r="F3" s="3" t="s">
        <v>30</v>
      </c>
      <c r="G3" s="4" t="s">
        <v>31</v>
      </c>
      <c r="H3" s="17"/>
    </row>
    <row r="4" spans="1:8" ht="15.75" thickBot="1">
      <c r="A4" s="15"/>
      <c r="B4" s="5"/>
      <c r="C4" s="6"/>
      <c r="D4" s="6"/>
      <c r="E4" s="7" t="s">
        <v>9</v>
      </c>
      <c r="F4" s="6"/>
      <c r="G4" s="8"/>
      <c r="H4" s="17"/>
    </row>
    <row r="5" spans="1:8">
      <c r="A5" s="15"/>
      <c r="B5" s="5" t="s">
        <v>0</v>
      </c>
      <c r="C5" s="31">
        <v>14</v>
      </c>
      <c r="D5" s="45">
        <v>14</v>
      </c>
      <c r="E5" s="6" t="s">
        <v>10</v>
      </c>
      <c r="F5" s="36">
        <f>6*(C6/2)</f>
        <v>3</v>
      </c>
      <c r="G5" s="58">
        <f>6*(D6/2)</f>
        <v>3</v>
      </c>
      <c r="H5" s="17"/>
    </row>
    <row r="6" spans="1:8">
      <c r="A6" s="15"/>
      <c r="B6" s="95" t="s">
        <v>78</v>
      </c>
      <c r="C6" s="32">
        <v>1</v>
      </c>
      <c r="D6" s="46">
        <v>1</v>
      </c>
      <c r="E6" s="6" t="s">
        <v>11</v>
      </c>
      <c r="F6" s="43">
        <f>C6/2</f>
        <v>0.5</v>
      </c>
      <c r="G6" s="59">
        <f>D6/2</f>
        <v>0.5</v>
      </c>
      <c r="H6" s="17"/>
    </row>
    <row r="7" spans="1:8" ht="17.25">
      <c r="A7" s="15"/>
      <c r="B7" s="5" t="s">
        <v>2</v>
      </c>
      <c r="C7" s="32">
        <v>22</v>
      </c>
      <c r="D7" s="46">
        <v>25</v>
      </c>
      <c r="E7" s="6" t="s">
        <v>12</v>
      </c>
      <c r="F7" s="22">
        <f>((3*SQRT(3))/2)*((C6/2)^2)</f>
        <v>0.649519052838329</v>
      </c>
      <c r="G7" s="49">
        <f>((3*SQRT(3))/2)*((D6/2)^2)</f>
        <v>0.649519052838329</v>
      </c>
      <c r="H7" s="17"/>
    </row>
    <row r="8" spans="1:8" ht="15.75" thickBot="1">
      <c r="A8" s="15"/>
      <c r="B8" s="5" t="s">
        <v>3</v>
      </c>
      <c r="C8" s="32">
        <v>100</v>
      </c>
      <c r="D8" s="46">
        <v>100</v>
      </c>
      <c r="E8" s="6" t="s">
        <v>27</v>
      </c>
      <c r="F8" s="34">
        <f>C6/5*100</f>
        <v>20</v>
      </c>
      <c r="G8" s="50">
        <f>D6/5*100</f>
        <v>20</v>
      </c>
      <c r="H8" s="17"/>
    </row>
    <row r="9" spans="1:8" ht="15.75" thickBot="1">
      <c r="A9" s="15"/>
      <c r="B9" s="5" t="s">
        <v>4</v>
      </c>
      <c r="C9" s="87">
        <v>1</v>
      </c>
      <c r="D9" s="88">
        <v>1</v>
      </c>
      <c r="E9" s="7" t="s">
        <v>13</v>
      </c>
      <c r="F9" s="37"/>
      <c r="G9" s="38"/>
      <c r="H9" s="17"/>
    </row>
    <row r="10" spans="1:8">
      <c r="A10" s="15"/>
      <c r="B10" s="5"/>
      <c r="C10" s="6"/>
      <c r="D10" s="6"/>
      <c r="E10" s="6" t="s">
        <v>14</v>
      </c>
      <c r="F10" s="23">
        <f>(0.012*F6*100)*(LN((2*F6*100)/((C9+1)*(C7/10)))+0.65533+(0.1349*(C9+1)*(C7/10))/(F6*100))</f>
        <v>2.2744601070383252</v>
      </c>
      <c r="G10" s="51">
        <f>(0.012*G6*100)*(LN((2*G6*100)/((D9+1)*(D7/10)))+0.65533+(0.1349*(D9+1)*(D7/10))/(G6*100))</f>
        <v>2.1987313641323945</v>
      </c>
      <c r="H10" s="17"/>
    </row>
    <row r="11" spans="1:8">
      <c r="A11" s="15"/>
      <c r="B11" s="9" t="s">
        <v>6</v>
      </c>
      <c r="C11" s="39" t="s">
        <v>30</v>
      </c>
      <c r="D11" s="39" t="s">
        <v>31</v>
      </c>
      <c r="E11" s="6" t="s">
        <v>15</v>
      </c>
      <c r="F11" s="24">
        <f>25330/((C5^2)*F10)</f>
        <v>56.819943105457767</v>
      </c>
      <c r="G11" s="52">
        <f>25330/((D5^2)*G10)</f>
        <v>58.77693654883857</v>
      </c>
      <c r="H11" s="17"/>
    </row>
    <row r="12" spans="1:8" ht="18.75" thickBot="1">
      <c r="A12" s="15"/>
      <c r="B12" s="9" t="s">
        <v>8</v>
      </c>
      <c r="C12" s="39" t="s">
        <v>33</v>
      </c>
      <c r="D12" s="39" t="s">
        <v>32</v>
      </c>
      <c r="E12" s="6" t="s">
        <v>16</v>
      </c>
      <c r="F12" s="25">
        <f>2.69*F5</f>
        <v>8.07</v>
      </c>
      <c r="G12" s="53">
        <f>2.69*G5</f>
        <v>8.07</v>
      </c>
      <c r="H12" s="17"/>
    </row>
    <row r="13" spans="1:8" ht="18.75" thickBot="1">
      <c r="A13" s="15"/>
      <c r="B13" s="5"/>
      <c r="C13" s="30">
        <f>5.8*10^7</f>
        <v>58000000</v>
      </c>
      <c r="D13" s="47">
        <f>3.5*10^7</f>
        <v>35000000</v>
      </c>
      <c r="E13" s="6" t="s">
        <v>17</v>
      </c>
      <c r="F13" s="25">
        <f>F11-F12</f>
        <v>48.749943105457767</v>
      </c>
      <c r="G13" s="53">
        <f>G11-G12</f>
        <v>50.70693654883857</v>
      </c>
      <c r="H13" s="17"/>
    </row>
    <row r="14" spans="1:8" ht="18">
      <c r="A14" s="15"/>
      <c r="B14" s="5"/>
      <c r="C14" s="6"/>
      <c r="D14" s="6"/>
      <c r="E14" s="6" t="s">
        <v>18</v>
      </c>
      <c r="F14" s="26">
        <f>10^6/(2*PI()*C5*F11)</f>
        <v>200.07429785260922</v>
      </c>
      <c r="G14" s="54">
        <f>10^6/(2*PI()*D5*G11)</f>
        <v>193.41277188551098</v>
      </c>
      <c r="H14" s="17"/>
    </row>
    <row r="15" spans="1:8" ht="18.75" thickBot="1">
      <c r="A15" s="15"/>
      <c r="B15" s="98" t="s">
        <v>80</v>
      </c>
      <c r="C15" s="6"/>
      <c r="D15" s="6"/>
      <c r="E15" s="6" t="s">
        <v>19</v>
      </c>
      <c r="F15" s="35">
        <f>31171*(F7/((300/C5)^2))^2</f>
        <v>6.2367975833333346E-2</v>
      </c>
      <c r="G15" s="49">
        <f>31171*(G7/((300/D5)^2))^2</f>
        <v>6.2367975833333346E-2</v>
      </c>
      <c r="H15" s="17"/>
    </row>
    <row r="16" spans="1:8" ht="18">
      <c r="A16" s="15"/>
      <c r="B16" s="99" t="s">
        <v>82</v>
      </c>
      <c r="C16" s="104">
        <f>(300/C5)/8</f>
        <v>2.6785714285714284</v>
      </c>
      <c r="D16" s="6"/>
      <c r="E16" s="6" t="s">
        <v>20</v>
      </c>
      <c r="F16" s="35">
        <f>((2*F5/(C7/1000))*SQRT(((C5)/10)/(C13*10^-6)))/1000</f>
        <v>4.2371963609036278E-2</v>
      </c>
      <c r="G16" s="49">
        <f>((2*G5/(D7/1000))*SQRT(((D5)/10)/(D13*10^-6)))/1000</f>
        <v>4.8000000000000001E-2</v>
      </c>
      <c r="H16" s="17"/>
    </row>
    <row r="17" spans="1:12">
      <c r="A17" s="15"/>
      <c r="B17" s="100" t="s">
        <v>81</v>
      </c>
      <c r="C17" s="103">
        <f>F5</f>
        <v>3</v>
      </c>
      <c r="D17" s="6"/>
      <c r="E17" s="6" t="s">
        <v>21</v>
      </c>
      <c r="F17" s="26">
        <f>(F15/(F15+F16))*100</f>
        <v>59.545552694967597</v>
      </c>
      <c r="G17" s="54">
        <f>(G15/(G15+G16))*100</f>
        <v>56.509123559097617</v>
      </c>
      <c r="H17" s="17"/>
    </row>
    <row r="18" spans="1:12" ht="15.75" thickBot="1">
      <c r="A18" s="15"/>
      <c r="B18" s="99" t="s">
        <v>83</v>
      </c>
      <c r="C18" s="105">
        <f>(300/C5)/4</f>
        <v>5.3571428571428568</v>
      </c>
      <c r="D18" s="6"/>
      <c r="E18" s="6" t="s">
        <v>28</v>
      </c>
      <c r="F18" s="27">
        <f>10*LOG(F17/100)</f>
        <v>-2.2515066931403789</v>
      </c>
      <c r="G18" s="55">
        <f>10*LOG(G17/100)</f>
        <v>-2.4788142843735854</v>
      </c>
      <c r="H18" s="17"/>
      <c r="L18" s="89"/>
    </row>
    <row r="19" spans="1:12">
      <c r="A19" s="15"/>
      <c r="B19" s="99" t="s">
        <v>86</v>
      </c>
      <c r="C19" s="6"/>
      <c r="D19" s="106">
        <f>(300/D5)/8</f>
        <v>2.6785714285714284</v>
      </c>
      <c r="E19" s="6" t="s">
        <v>22</v>
      </c>
      <c r="F19" s="26">
        <f>F14/(2*(F15+F16))</f>
        <v>955.10031282142768</v>
      </c>
      <c r="G19" s="54">
        <f>G14/(2*(G15+G16))</f>
        <v>876.21780876720777</v>
      </c>
      <c r="H19" s="17"/>
    </row>
    <row r="20" spans="1:12">
      <c r="A20" s="15"/>
      <c r="B20" s="100" t="s">
        <v>81</v>
      </c>
      <c r="C20" s="6"/>
      <c r="D20" s="102">
        <f>G5</f>
        <v>3</v>
      </c>
      <c r="E20" s="6" t="s">
        <v>23</v>
      </c>
      <c r="F20" s="26">
        <f>1000*(C5/F19)</f>
        <v>14.658146178010456</v>
      </c>
      <c r="G20" s="54">
        <f>1000*(D5/G19)</f>
        <v>15.977762446642418</v>
      </c>
      <c r="H20" s="17"/>
    </row>
    <row r="21" spans="1:12" ht="18.75" thickBot="1">
      <c r="A21" s="15"/>
      <c r="B21" s="99" t="s">
        <v>84</v>
      </c>
      <c r="C21" s="6"/>
      <c r="D21" s="107">
        <f>(300/D5)/4</f>
        <v>5.3571428571428568</v>
      </c>
      <c r="E21" s="6" t="s">
        <v>24</v>
      </c>
      <c r="F21" s="26">
        <f>SQRT(C8*F14*F19)</f>
        <v>4371.3959379877106</v>
      </c>
      <c r="G21" s="54">
        <f>SQRT(D8*G14*G19)</f>
        <v>4116.6942462261422</v>
      </c>
      <c r="H21" s="17"/>
    </row>
    <row r="22" spans="1:12" ht="18.75" thickBot="1">
      <c r="A22" s="15"/>
      <c r="B22" s="99" t="s">
        <v>85</v>
      </c>
      <c r="C22" s="6"/>
      <c r="D22" s="6"/>
      <c r="E22" s="6" t="s">
        <v>25</v>
      </c>
      <c r="F22" s="26">
        <f>1.41*F21</f>
        <v>6163.6682725626715</v>
      </c>
      <c r="G22" s="54">
        <f>1.41*G21</f>
        <v>5804.53888717886</v>
      </c>
      <c r="H22" s="17"/>
    </row>
    <row r="23" spans="1:12">
      <c r="A23" s="15"/>
      <c r="B23" s="99" t="s">
        <v>30</v>
      </c>
      <c r="C23" s="108">
        <f>F21/1000</f>
        <v>4.3713959379877103</v>
      </c>
      <c r="D23" s="6"/>
      <c r="E23" s="6" t="s">
        <v>26</v>
      </c>
      <c r="F23" s="28">
        <f>SQRT((C8*F19)/F14)</f>
        <v>21.848863071897579</v>
      </c>
      <c r="G23" s="56">
        <f>SQRT((D8*G19)/G14)</f>
        <v>21.284500532689659</v>
      </c>
      <c r="H23" s="17"/>
    </row>
    <row r="24" spans="1:12" ht="15.75" thickBot="1">
      <c r="A24" s="15"/>
      <c r="B24" s="101" t="s">
        <v>31</v>
      </c>
      <c r="C24" s="109">
        <f>G21/1000</f>
        <v>4.1166942462261424</v>
      </c>
      <c r="D24" s="10"/>
      <c r="E24" s="11" t="s">
        <v>29</v>
      </c>
      <c r="F24" s="29">
        <f>(0.0661*(1/SQRT(C5)))</f>
        <v>1.7665968090411256E-2</v>
      </c>
      <c r="G24" s="57">
        <f>(0.0851*(1/SQRT(D5)))</f>
        <v>2.2743931686747314E-2</v>
      </c>
      <c r="H24" s="17"/>
    </row>
    <row r="25" spans="1:12">
      <c r="A25" s="15"/>
      <c r="B25" s="16"/>
      <c r="C25" s="16"/>
      <c r="D25" s="16"/>
      <c r="E25" s="16"/>
      <c r="F25" s="16"/>
      <c r="G25" s="16"/>
      <c r="H25" s="17"/>
    </row>
    <row r="26" spans="1:12" ht="15.75" thickBot="1">
      <c r="A26" s="18"/>
      <c r="B26" s="21" t="s">
        <v>34</v>
      </c>
      <c r="C26" s="19"/>
      <c r="D26" s="19"/>
      <c r="E26" s="21" t="s">
        <v>36</v>
      </c>
      <c r="F26" s="19"/>
      <c r="G26" s="19"/>
      <c r="H26" s="20"/>
    </row>
    <row r="27" spans="1:12" ht="15.75" thickBot="1">
      <c r="B27" s="1" t="s">
        <v>50</v>
      </c>
    </row>
    <row r="28" spans="1:12">
      <c r="B28" s="40" t="s">
        <v>39</v>
      </c>
      <c r="C28" s="60" t="s">
        <v>44</v>
      </c>
      <c r="D28" s="92">
        <v>1</v>
      </c>
    </row>
    <row r="29" spans="1:12">
      <c r="B29" s="41" t="s">
        <v>11</v>
      </c>
      <c r="C29" s="61" t="s">
        <v>48</v>
      </c>
      <c r="D29" s="59">
        <f>D28/2</f>
        <v>0.5</v>
      </c>
    </row>
    <row r="30" spans="1:12" ht="15.75">
      <c r="B30" s="41" t="s">
        <v>41</v>
      </c>
      <c r="C30" s="61" t="s">
        <v>47</v>
      </c>
      <c r="D30" s="62">
        <f>6*(D28/2)</f>
        <v>3</v>
      </c>
    </row>
    <row r="31" spans="1:12" ht="18" thickBot="1">
      <c r="B31" s="42" t="s">
        <v>42</v>
      </c>
      <c r="C31" s="63" t="s">
        <v>63</v>
      </c>
      <c r="D31" s="64">
        <f>((3*SQRT(3))/2)*((D28/2)^2)</f>
        <v>0.649519052838329</v>
      </c>
    </row>
  </sheetData>
  <sheetProtection password="CF6F" sheet="1" objects="1" scenarios="1" selectLockedCell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1"/>
  <sheetViews>
    <sheetView zoomScaleNormal="100" workbookViewId="0">
      <selection activeCell="D28" sqref="D28"/>
    </sheetView>
  </sheetViews>
  <sheetFormatPr defaultRowHeight="15"/>
  <cols>
    <col min="2" max="2" width="31.140625" customWidth="1"/>
    <col min="3" max="3" width="17.28515625" customWidth="1"/>
    <col min="4" max="4" width="13.7109375" customWidth="1"/>
    <col min="5" max="5" width="34.85546875" customWidth="1"/>
    <col min="6" max="6" width="9.7109375" customWidth="1"/>
    <col min="7" max="7" width="9.5703125" customWidth="1"/>
  </cols>
  <sheetData>
    <row r="1" spans="1:8">
      <c r="A1" s="12"/>
      <c r="B1" s="13"/>
      <c r="C1" s="13"/>
      <c r="D1" s="13"/>
      <c r="E1" s="13"/>
      <c r="F1" s="13"/>
      <c r="G1" s="13"/>
      <c r="H1" s="14"/>
    </row>
    <row r="2" spans="1:8" ht="15.75" thickBot="1">
      <c r="A2" s="15"/>
      <c r="B2" s="16"/>
      <c r="C2" s="16"/>
      <c r="D2" s="16"/>
      <c r="E2" s="16"/>
      <c r="F2" s="16"/>
      <c r="G2" s="16"/>
      <c r="H2" s="17"/>
    </row>
    <row r="3" spans="1:8">
      <c r="A3" s="15"/>
      <c r="B3" s="2" t="s">
        <v>5</v>
      </c>
      <c r="C3" s="3" t="s">
        <v>30</v>
      </c>
      <c r="D3" s="3" t="s">
        <v>31</v>
      </c>
      <c r="E3" s="3" t="s">
        <v>7</v>
      </c>
      <c r="F3" s="3" t="s">
        <v>30</v>
      </c>
      <c r="G3" s="4" t="s">
        <v>31</v>
      </c>
      <c r="H3" s="17"/>
    </row>
    <row r="4" spans="1:8" ht="15.75" thickBot="1">
      <c r="A4" s="15"/>
      <c r="B4" s="5"/>
      <c r="C4" s="6"/>
      <c r="D4" s="6"/>
      <c r="E4" s="7" t="s">
        <v>9</v>
      </c>
      <c r="F4" s="6"/>
      <c r="G4" s="8"/>
      <c r="H4" s="17"/>
    </row>
    <row r="5" spans="1:8">
      <c r="A5" s="15"/>
      <c r="B5" s="5" t="s">
        <v>0</v>
      </c>
      <c r="C5" s="31">
        <v>14</v>
      </c>
      <c r="D5" s="45">
        <v>14</v>
      </c>
      <c r="E5" s="6" t="s">
        <v>10</v>
      </c>
      <c r="F5" s="36">
        <f>F6*8</f>
        <v>3.0614674589207178</v>
      </c>
      <c r="G5" s="58">
        <f>G6*8</f>
        <v>3.0614674589207178</v>
      </c>
      <c r="H5" s="17"/>
    </row>
    <row r="6" spans="1:8">
      <c r="A6" s="15"/>
      <c r="B6" s="5" t="s">
        <v>78</v>
      </c>
      <c r="C6" s="32">
        <v>1</v>
      </c>
      <c r="D6" s="46">
        <v>1</v>
      </c>
      <c r="E6" s="6" t="s">
        <v>11</v>
      </c>
      <c r="F6" s="22">
        <f>(C6/2)*SQRT(2-SQRT(2))</f>
        <v>0.38268343236508973</v>
      </c>
      <c r="G6" s="49">
        <f>(D6/2)*SQRT(2-SQRT(2))</f>
        <v>0.38268343236508973</v>
      </c>
      <c r="H6" s="17"/>
    </row>
    <row r="7" spans="1:8" ht="17.25">
      <c r="A7" s="15"/>
      <c r="B7" s="5" t="s">
        <v>2</v>
      </c>
      <c r="C7" s="32">
        <v>35</v>
      </c>
      <c r="D7" s="46">
        <v>25</v>
      </c>
      <c r="E7" s="6" t="s">
        <v>12</v>
      </c>
      <c r="F7" s="22">
        <f>(2*(C6/2)^2)*SQRT(2)</f>
        <v>0.70710678118654757</v>
      </c>
      <c r="G7" s="49">
        <f>(2*(D6/2)^2)*SQRT(2)</f>
        <v>0.70710678118654757</v>
      </c>
      <c r="H7" s="17"/>
    </row>
    <row r="8" spans="1:8" ht="15.75" thickBot="1">
      <c r="A8" s="15"/>
      <c r="B8" s="5" t="s">
        <v>3</v>
      </c>
      <c r="C8" s="32">
        <v>100</v>
      </c>
      <c r="D8" s="46">
        <v>100</v>
      </c>
      <c r="E8" s="6" t="s">
        <v>27</v>
      </c>
      <c r="F8" s="34">
        <f>C6/5*100</f>
        <v>20</v>
      </c>
      <c r="G8" s="50">
        <f>D6/5*100</f>
        <v>20</v>
      </c>
      <c r="H8" s="17"/>
    </row>
    <row r="9" spans="1:8" ht="15.75" thickBot="1">
      <c r="A9" s="15"/>
      <c r="B9" s="5" t="s">
        <v>4</v>
      </c>
      <c r="C9" s="87">
        <v>1</v>
      </c>
      <c r="D9" s="88">
        <v>1</v>
      </c>
      <c r="E9" s="7" t="s">
        <v>13</v>
      </c>
      <c r="F9" s="37"/>
      <c r="G9" s="38"/>
      <c r="H9" s="17"/>
    </row>
    <row r="10" spans="1:8">
      <c r="A10" s="15"/>
      <c r="B10" s="5"/>
      <c r="C10" s="6"/>
      <c r="D10" s="6"/>
      <c r="E10" s="6" t="s">
        <v>14</v>
      </c>
      <c r="F10" s="23">
        <f>(0.016*F6*100)*(LN((2.613*F6*100)/((C9+1)*(C7/10)))+0.75143+(0.07153*(C9+1)*(C7/10))/(F6*100))</f>
        <v>2.0963251642194414</v>
      </c>
      <c r="G10" s="51">
        <f>(0.016*G6*100)*(LN((2.613*G6*100)/((D9+1)*(D7/10)))+0.75143+(0.07153*(D9+1)*(D7/10))/(G6*100))</f>
        <v>2.3000559648686645</v>
      </c>
      <c r="H10" s="17"/>
    </row>
    <row r="11" spans="1:8">
      <c r="A11" s="15"/>
      <c r="B11" s="9" t="s">
        <v>6</v>
      </c>
      <c r="C11" s="39" t="s">
        <v>30</v>
      </c>
      <c r="D11" s="39" t="s">
        <v>31</v>
      </c>
      <c r="E11" s="6" t="s">
        <v>15</v>
      </c>
      <c r="F11" s="24">
        <f>25330/((C5^2)*F10)</f>
        <v>61.648209964445599</v>
      </c>
      <c r="G11" s="52">
        <f>25330/((D5^2)*G10)</f>
        <v>56.187630149656144</v>
      </c>
      <c r="H11" s="17"/>
    </row>
    <row r="12" spans="1:8" ht="18.75" thickBot="1">
      <c r="A12" s="15"/>
      <c r="B12" s="9" t="s">
        <v>8</v>
      </c>
      <c r="C12" s="39" t="s">
        <v>33</v>
      </c>
      <c r="D12" s="39" t="s">
        <v>32</v>
      </c>
      <c r="E12" s="6" t="s">
        <v>16</v>
      </c>
      <c r="F12" s="25">
        <f>2.69*F5</f>
        <v>8.2353474644967299</v>
      </c>
      <c r="G12" s="53">
        <f>2.69*G5</f>
        <v>8.2353474644967299</v>
      </c>
      <c r="H12" s="17"/>
    </row>
    <row r="13" spans="1:8" ht="18.75" thickBot="1">
      <c r="A13" s="15"/>
      <c r="B13" s="5"/>
      <c r="C13" s="30">
        <f>5.8*10^7</f>
        <v>58000000</v>
      </c>
      <c r="D13" s="47">
        <f>3.5*10^7</f>
        <v>35000000</v>
      </c>
      <c r="E13" s="6" t="s">
        <v>17</v>
      </c>
      <c r="F13" s="25">
        <f>F11-F12</f>
        <v>53.412862499948872</v>
      </c>
      <c r="G13" s="53">
        <f>G11-G12</f>
        <v>47.952282685159417</v>
      </c>
      <c r="H13" s="17"/>
    </row>
    <row r="14" spans="1:8" ht="18">
      <c r="A14" s="15"/>
      <c r="B14" s="5"/>
      <c r="C14" s="6"/>
      <c r="D14" s="6"/>
      <c r="E14" s="6" t="s">
        <v>18</v>
      </c>
      <c r="F14" s="26">
        <f>10^6/(2*PI()*C5*F11)</f>
        <v>184.40454682149021</v>
      </c>
      <c r="G14" s="54">
        <f>10^6/(2*PI()*D5*G11)</f>
        <v>202.32585340528439</v>
      </c>
      <c r="H14" s="17"/>
    </row>
    <row r="15" spans="1:8" ht="18.75" thickBot="1">
      <c r="A15" s="15"/>
      <c r="B15" s="98" t="s">
        <v>80</v>
      </c>
      <c r="C15" s="6"/>
      <c r="D15" s="6"/>
      <c r="E15" s="6" t="s">
        <v>19</v>
      </c>
      <c r="F15" s="35">
        <f>31171*(F7/((300/C5)^2))^2</f>
        <v>7.3917600987654333E-2</v>
      </c>
      <c r="G15" s="49">
        <f>31171*(G7/((300/D5)^2))^2</f>
        <v>7.3917600987654333E-2</v>
      </c>
      <c r="H15" s="17"/>
    </row>
    <row r="16" spans="1:8" ht="18">
      <c r="A16" s="15"/>
      <c r="B16" s="99" t="s">
        <v>82</v>
      </c>
      <c r="C16" s="104">
        <f>(300/C5)/8</f>
        <v>2.6785714285714284</v>
      </c>
      <c r="D16" s="6"/>
      <c r="E16" s="6" t="s">
        <v>20</v>
      </c>
      <c r="F16" s="35">
        <f>((2*F5/(C7/1000))*SQRT(((C5)/10)/(C13*10^-6)))/1000</f>
        <v>2.7179509816304979E-2</v>
      </c>
      <c r="G16" s="49">
        <f>((2*G5/(D7/1000))*SQRT(((D5)/10)/(D13*10^-6)))/1000</f>
        <v>4.8983479342731485E-2</v>
      </c>
      <c r="H16" s="17"/>
    </row>
    <row r="17" spans="1:12">
      <c r="A17" s="15"/>
      <c r="B17" s="100" t="s">
        <v>81</v>
      </c>
      <c r="C17" s="103">
        <f>F5</f>
        <v>3.0614674589207178</v>
      </c>
      <c r="D17" s="6"/>
      <c r="E17" s="6" t="s">
        <v>21</v>
      </c>
      <c r="F17" s="26">
        <f>(F15/(F15+F16))*100</f>
        <v>73.115443557027419</v>
      </c>
      <c r="G17" s="54">
        <f>(G15/(G15+G16))*100</f>
        <v>60.143979848628796</v>
      </c>
      <c r="H17" s="17"/>
    </row>
    <row r="18" spans="1:12" ht="15.75" thickBot="1">
      <c r="A18" s="15"/>
      <c r="B18" s="99" t="s">
        <v>83</v>
      </c>
      <c r="C18" s="105">
        <f>(300/C5)/4</f>
        <v>5.3571428571428568</v>
      </c>
      <c r="D18" s="6"/>
      <c r="E18" s="6" t="s">
        <v>28</v>
      </c>
      <c r="F18" s="27">
        <f>10*LOG(F17/100)</f>
        <v>-1.3599088100094689</v>
      </c>
      <c r="G18" s="55">
        <f>10*LOG(G17/100)</f>
        <v>-2.2080783714154877</v>
      </c>
      <c r="H18" s="17"/>
      <c r="L18" s="89"/>
    </row>
    <row r="19" spans="1:12">
      <c r="A19" s="15"/>
      <c r="B19" s="99" t="s">
        <v>86</v>
      </c>
      <c r="C19" s="6"/>
      <c r="D19" s="106">
        <f>(300/D5)/8</f>
        <v>2.6785714285714284</v>
      </c>
      <c r="E19" s="6" t="s">
        <v>22</v>
      </c>
      <c r="F19" s="26">
        <f>F14/(2*(F15+F16))</f>
        <v>912.01689818354487</v>
      </c>
      <c r="G19" s="54">
        <f>G14/(2*(G15+G16))</f>
        <v>823.12479622386911</v>
      </c>
      <c r="H19" s="17"/>
    </row>
    <row r="20" spans="1:12">
      <c r="A20" s="15"/>
      <c r="B20" s="100" t="s">
        <v>81</v>
      </c>
      <c r="C20" s="6"/>
      <c r="D20" s="102">
        <f>G5</f>
        <v>3.0614674589207178</v>
      </c>
      <c r="E20" s="6" t="s">
        <v>23</v>
      </c>
      <c r="F20" s="26">
        <f>1000*(C5/F19)</f>
        <v>15.350592766300343</v>
      </c>
      <c r="G20" s="54">
        <f>1000*(D5/G19)</f>
        <v>17.008356526526452</v>
      </c>
      <c r="H20" s="17"/>
    </row>
    <row r="21" spans="1:12" ht="18.75" thickBot="1">
      <c r="A21" s="15"/>
      <c r="B21" s="99" t="s">
        <v>84</v>
      </c>
      <c r="C21" s="6"/>
      <c r="D21" s="107">
        <f>(300/D5)/4</f>
        <v>5.3571428571428568</v>
      </c>
      <c r="E21" s="6" t="s">
        <v>24</v>
      </c>
      <c r="F21" s="26">
        <f>SQRT(C8*F14*F19)</f>
        <v>4100.9762594177228</v>
      </c>
      <c r="G21" s="54">
        <f>SQRT(D8*G14*G19)</f>
        <v>4080.9242440291036</v>
      </c>
      <c r="H21" s="17"/>
    </row>
    <row r="22" spans="1:12" ht="18.75" thickBot="1">
      <c r="A22" s="15"/>
      <c r="B22" s="99" t="s">
        <v>85</v>
      </c>
      <c r="C22" s="6"/>
      <c r="D22" s="6"/>
      <c r="E22" s="6" t="s">
        <v>25</v>
      </c>
      <c r="F22" s="26">
        <f>1.41*F21</f>
        <v>5782.3765257789892</v>
      </c>
      <c r="G22" s="54">
        <f>1.41*G21</f>
        <v>5754.1031840810356</v>
      </c>
      <c r="H22" s="17"/>
    </row>
    <row r="23" spans="1:12">
      <c r="A23" s="15"/>
      <c r="B23" s="99" t="s">
        <v>30</v>
      </c>
      <c r="C23" s="108">
        <f>F21/1000</f>
        <v>4.100976259417723</v>
      </c>
      <c r="D23" s="6"/>
      <c r="E23" s="6" t="s">
        <v>26</v>
      </c>
      <c r="F23" s="28">
        <f>SQRT((C8*F19)/F14)</f>
        <v>22.23901921131915</v>
      </c>
      <c r="G23" s="56">
        <f>SQRT((D8*G19)/G14)</f>
        <v>20.170058227084276</v>
      </c>
      <c r="H23" s="17"/>
    </row>
    <row r="24" spans="1:12" ht="15.75" thickBot="1">
      <c r="A24" s="15"/>
      <c r="B24" s="101" t="s">
        <v>31</v>
      </c>
      <c r="C24" s="109">
        <f>G21/1000</f>
        <v>4.080924244029104</v>
      </c>
      <c r="D24" s="10"/>
      <c r="E24" s="11" t="s">
        <v>29</v>
      </c>
      <c r="F24" s="29">
        <f>(0.0661*(1/SQRT(C5)))</f>
        <v>1.7665968090411256E-2</v>
      </c>
      <c r="G24" s="57">
        <f>(0.0851*(1/SQRT(D5)))</f>
        <v>2.2743931686747314E-2</v>
      </c>
      <c r="H24" s="17"/>
    </row>
    <row r="25" spans="1:12">
      <c r="A25" s="15"/>
      <c r="B25" s="16"/>
      <c r="C25" s="16"/>
      <c r="D25" s="16"/>
      <c r="E25" s="16"/>
      <c r="F25" s="16"/>
      <c r="G25" s="16"/>
      <c r="H25" s="17"/>
    </row>
    <row r="26" spans="1:12" ht="15.75" thickBot="1">
      <c r="A26" s="18"/>
      <c r="B26" s="21" t="s">
        <v>34</v>
      </c>
      <c r="C26" s="19"/>
      <c r="D26" s="19"/>
      <c r="E26" s="21" t="s">
        <v>57</v>
      </c>
      <c r="F26" s="19"/>
      <c r="G26" s="19"/>
      <c r="H26" s="20"/>
    </row>
    <row r="27" spans="1:12" ht="15.75" thickBot="1">
      <c r="B27" s="1" t="s">
        <v>56</v>
      </c>
    </row>
    <row r="28" spans="1:12">
      <c r="B28" s="40" t="s">
        <v>39</v>
      </c>
      <c r="C28" s="60" t="s">
        <v>44</v>
      </c>
      <c r="D28" s="92">
        <v>1</v>
      </c>
    </row>
    <row r="29" spans="1:12" ht="17.25">
      <c r="B29" s="41" t="s">
        <v>11</v>
      </c>
      <c r="C29" s="61" t="s">
        <v>58</v>
      </c>
      <c r="D29" s="65">
        <f>(D28/2)*SQRT(2-SQRT(2))</f>
        <v>0.38268343236508973</v>
      </c>
    </row>
    <row r="30" spans="1:12" ht="17.25">
      <c r="B30" s="41" t="s">
        <v>41</v>
      </c>
      <c r="C30" s="61" t="s">
        <v>59</v>
      </c>
      <c r="D30" s="65">
        <f>D29*8</f>
        <v>3.0614674589207178</v>
      </c>
    </row>
    <row r="31" spans="1:12" ht="18" thickBot="1">
      <c r="B31" s="42" t="s">
        <v>42</v>
      </c>
      <c r="C31" s="63" t="s">
        <v>60</v>
      </c>
      <c r="D31" s="64">
        <f>(2*(D28/2)^2)*SQRT(2)</f>
        <v>0.70710678118654757</v>
      </c>
    </row>
  </sheetData>
  <sheetProtection password="CF6F" sheet="1" objects="1" scenarios="1" selectLockedCell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6"/>
  <sheetViews>
    <sheetView tabSelected="1" zoomScaleNormal="100" workbookViewId="0">
      <selection activeCell="F7" sqref="F7"/>
    </sheetView>
  </sheetViews>
  <sheetFormatPr defaultRowHeight="15"/>
  <cols>
    <col min="2" max="2" width="29.28515625" customWidth="1"/>
    <col min="3" max="9" width="12.5703125" customWidth="1"/>
    <col min="10" max="10" width="35" customWidth="1"/>
    <col min="11" max="11" width="11.85546875" bestFit="1" customWidth="1"/>
  </cols>
  <sheetData>
    <row r="1" spans="1:18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</row>
    <row r="2" spans="1:18" ht="15.75" thickBot="1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ht="15.75" thickBot="1">
      <c r="A3" s="15"/>
      <c r="B3" s="2" t="s">
        <v>5</v>
      </c>
      <c r="C3" s="3" t="s">
        <v>30</v>
      </c>
      <c r="D3" s="3"/>
      <c r="E3" s="3"/>
      <c r="F3" s="3"/>
      <c r="G3" s="3"/>
      <c r="H3" s="3"/>
      <c r="I3" s="3"/>
      <c r="J3" s="3" t="s">
        <v>7</v>
      </c>
      <c r="K3" s="3" t="s">
        <v>30</v>
      </c>
      <c r="L3" s="3"/>
      <c r="M3" s="3"/>
      <c r="N3" s="3"/>
      <c r="O3" s="3"/>
      <c r="P3" s="3"/>
      <c r="Q3" s="4"/>
      <c r="R3" s="17"/>
    </row>
    <row r="4" spans="1:18" ht="15.75" thickBot="1">
      <c r="A4" s="15"/>
      <c r="B4" s="5"/>
      <c r="C4" s="6"/>
      <c r="D4" s="6"/>
      <c r="E4" s="6"/>
      <c r="F4" s="6"/>
      <c r="G4" s="6"/>
      <c r="H4" s="6"/>
      <c r="I4" s="6"/>
      <c r="J4" s="7" t="s">
        <v>9</v>
      </c>
      <c r="K4" s="116">
        <f t="shared" ref="K4:Q4" si="0">C5</f>
        <v>7</v>
      </c>
      <c r="L4" s="116">
        <f t="shared" si="0"/>
        <v>10</v>
      </c>
      <c r="M4" s="116">
        <f t="shared" si="0"/>
        <v>14</v>
      </c>
      <c r="N4" s="116">
        <f t="shared" si="0"/>
        <v>18</v>
      </c>
      <c r="O4" s="116">
        <f t="shared" si="0"/>
        <v>21</v>
      </c>
      <c r="P4" s="116">
        <f t="shared" si="0"/>
        <v>24</v>
      </c>
      <c r="Q4" s="116">
        <f t="shared" si="0"/>
        <v>28</v>
      </c>
      <c r="R4" s="17"/>
    </row>
    <row r="5" spans="1:18">
      <c r="A5" s="15"/>
      <c r="B5" s="5" t="s">
        <v>0</v>
      </c>
      <c r="C5" s="114">
        <v>7</v>
      </c>
      <c r="D5" s="114">
        <v>10</v>
      </c>
      <c r="E5" s="114">
        <v>14</v>
      </c>
      <c r="F5" s="114">
        <v>18</v>
      </c>
      <c r="G5" s="114">
        <v>21</v>
      </c>
      <c r="H5" s="115">
        <v>24</v>
      </c>
      <c r="I5" s="115">
        <v>28</v>
      </c>
      <c r="J5" s="6" t="s">
        <v>10</v>
      </c>
      <c r="K5" s="36">
        <f t="shared" ref="K5:Q5" si="1">PI()*C6</f>
        <v>6.2831853071795862</v>
      </c>
      <c r="L5" s="36">
        <f t="shared" si="1"/>
        <v>3.7699111843077517</v>
      </c>
      <c r="M5" s="36">
        <f t="shared" si="1"/>
        <v>2.8274333882308138</v>
      </c>
      <c r="N5" s="36">
        <f t="shared" si="1"/>
        <v>2.5132741228718345</v>
      </c>
      <c r="O5" s="36">
        <f t="shared" si="1"/>
        <v>2.5132741228718345</v>
      </c>
      <c r="P5" s="36">
        <f t="shared" si="1"/>
        <v>2.5132741228718345</v>
      </c>
      <c r="Q5" s="36">
        <f t="shared" si="1"/>
        <v>2.5132741228718345</v>
      </c>
      <c r="R5" s="17"/>
    </row>
    <row r="6" spans="1:18">
      <c r="A6" s="15"/>
      <c r="B6" s="5" t="s">
        <v>1</v>
      </c>
      <c r="C6" s="32">
        <v>2</v>
      </c>
      <c r="D6" s="32">
        <v>1.2</v>
      </c>
      <c r="E6" s="32">
        <v>0.9</v>
      </c>
      <c r="F6" s="32">
        <v>0.8</v>
      </c>
      <c r="G6" s="32">
        <v>0.8</v>
      </c>
      <c r="H6" s="32">
        <v>0.8</v>
      </c>
      <c r="I6" s="112">
        <v>0.8</v>
      </c>
      <c r="J6" s="6" t="s">
        <v>11</v>
      </c>
      <c r="K6" s="22" t="s">
        <v>37</v>
      </c>
      <c r="L6" s="22" t="s">
        <v>37</v>
      </c>
      <c r="M6" s="22" t="s">
        <v>37</v>
      </c>
      <c r="N6" s="22" t="s">
        <v>37</v>
      </c>
      <c r="O6" s="22" t="s">
        <v>37</v>
      </c>
      <c r="P6" s="22" t="s">
        <v>37</v>
      </c>
      <c r="Q6" s="22" t="s">
        <v>37</v>
      </c>
      <c r="R6" s="17"/>
    </row>
    <row r="7" spans="1:18" ht="17.25">
      <c r="A7" s="15"/>
      <c r="B7" s="5" t="s">
        <v>2</v>
      </c>
      <c r="C7" s="32">
        <v>22</v>
      </c>
      <c r="D7" s="32">
        <v>22</v>
      </c>
      <c r="E7" s="32">
        <v>22</v>
      </c>
      <c r="F7" s="32">
        <v>22</v>
      </c>
      <c r="G7" s="32">
        <v>22</v>
      </c>
      <c r="H7" s="112">
        <v>22</v>
      </c>
      <c r="I7" s="112">
        <v>22</v>
      </c>
      <c r="J7" s="6" t="s">
        <v>12</v>
      </c>
      <c r="K7" s="22">
        <f t="shared" ref="K7:Q7" si="2">(PI()/4)*(C6^2)</f>
        <v>3.1415926535897931</v>
      </c>
      <c r="L7" s="22">
        <f t="shared" si="2"/>
        <v>1.1309733552923256</v>
      </c>
      <c r="M7" s="22">
        <f t="shared" si="2"/>
        <v>0.63617251235193317</v>
      </c>
      <c r="N7" s="22">
        <f t="shared" si="2"/>
        <v>0.50265482457436694</v>
      </c>
      <c r="O7" s="22">
        <f t="shared" si="2"/>
        <v>0.50265482457436694</v>
      </c>
      <c r="P7" s="22">
        <f t="shared" si="2"/>
        <v>0.50265482457436694</v>
      </c>
      <c r="Q7" s="22">
        <f t="shared" si="2"/>
        <v>0.50265482457436694</v>
      </c>
      <c r="R7" s="17"/>
    </row>
    <row r="8" spans="1:18" ht="15.75" thickBot="1">
      <c r="A8" s="15"/>
      <c r="B8" s="5" t="s">
        <v>3</v>
      </c>
      <c r="C8" s="32">
        <v>100</v>
      </c>
      <c r="D8" s="32">
        <v>100</v>
      </c>
      <c r="E8" s="32">
        <v>100</v>
      </c>
      <c r="F8" s="32">
        <v>100</v>
      </c>
      <c r="G8" s="32">
        <v>100</v>
      </c>
      <c r="H8" s="112">
        <v>100</v>
      </c>
      <c r="I8" s="112">
        <v>100</v>
      </c>
      <c r="J8" s="6" t="s">
        <v>27</v>
      </c>
      <c r="K8" s="34">
        <f t="shared" ref="K8:Q8" si="3">C6/5*100</f>
        <v>40</v>
      </c>
      <c r="L8" s="34">
        <f t="shared" si="3"/>
        <v>24</v>
      </c>
      <c r="M8" s="34">
        <f t="shared" si="3"/>
        <v>18</v>
      </c>
      <c r="N8" s="34">
        <f t="shared" si="3"/>
        <v>16</v>
      </c>
      <c r="O8" s="34">
        <f t="shared" si="3"/>
        <v>16</v>
      </c>
      <c r="P8" s="34">
        <f t="shared" si="3"/>
        <v>16</v>
      </c>
      <c r="Q8" s="34">
        <f t="shared" si="3"/>
        <v>16</v>
      </c>
      <c r="R8" s="17"/>
    </row>
    <row r="9" spans="1:18" ht="15.75" thickBot="1">
      <c r="A9" s="15"/>
      <c r="B9" s="5" t="s">
        <v>4</v>
      </c>
      <c r="C9" s="87">
        <v>1</v>
      </c>
      <c r="D9" s="87">
        <v>1</v>
      </c>
      <c r="E9" s="87">
        <v>1</v>
      </c>
      <c r="F9" s="87">
        <v>1</v>
      </c>
      <c r="G9" s="87">
        <v>1</v>
      </c>
      <c r="H9" s="113">
        <v>1</v>
      </c>
      <c r="I9" s="113">
        <v>1</v>
      </c>
      <c r="J9" s="7" t="s">
        <v>13</v>
      </c>
      <c r="K9" s="37"/>
      <c r="L9" s="37"/>
      <c r="M9" s="37"/>
      <c r="N9" s="37"/>
      <c r="O9" s="37"/>
      <c r="P9" s="38"/>
      <c r="Q9" s="38"/>
      <c r="R9" s="17"/>
    </row>
    <row r="10" spans="1:18">
      <c r="A10" s="15"/>
      <c r="B10" s="5"/>
      <c r="C10" s="6"/>
      <c r="D10" s="6"/>
      <c r="E10" s="6"/>
      <c r="F10" s="6"/>
      <c r="G10" s="6"/>
      <c r="H10" s="6"/>
      <c r="I10" s="6"/>
      <c r="J10" s="6" t="s">
        <v>14</v>
      </c>
      <c r="K10" s="66">
        <f t="shared" ref="K10:Q10" si="4">(((2*PI()*(10^-7)*(C6))*(LN((8/(C7/1000)*C6))-2))*10^6)</f>
        <v>5.7670864111506237</v>
      </c>
      <c r="L10" s="66">
        <f t="shared" si="4"/>
        <v>3.075098400237096</v>
      </c>
      <c r="M10" s="66">
        <f t="shared" si="4"/>
        <v>2.1436434208087016</v>
      </c>
      <c r="N10" s="66">
        <f t="shared" si="4"/>
        <v>1.8462566073709279</v>
      </c>
      <c r="O10" s="66">
        <f t="shared" si="4"/>
        <v>1.8462566073709279</v>
      </c>
      <c r="P10" s="66">
        <f t="shared" si="4"/>
        <v>1.8462566073709279</v>
      </c>
      <c r="Q10" s="66">
        <f t="shared" si="4"/>
        <v>1.8462566073709279</v>
      </c>
      <c r="R10" s="17"/>
    </row>
    <row r="11" spans="1:18">
      <c r="A11" s="15"/>
      <c r="B11" s="9" t="s">
        <v>6</v>
      </c>
      <c r="C11" s="39" t="s">
        <v>30</v>
      </c>
      <c r="D11" s="39"/>
      <c r="E11" s="39"/>
      <c r="F11" s="39"/>
      <c r="G11" s="39"/>
      <c r="H11" s="39"/>
      <c r="I11" s="39"/>
      <c r="J11" s="6" t="s">
        <v>15</v>
      </c>
      <c r="K11" s="24">
        <f t="shared" ref="K11:Q11" si="5">25330/((C5^2)*K10)</f>
        <v>89.636037793834049</v>
      </c>
      <c r="L11" s="24">
        <f t="shared" si="5"/>
        <v>82.371347850354994</v>
      </c>
      <c r="M11" s="24">
        <f t="shared" si="5"/>
        <v>60.287402570338166</v>
      </c>
      <c r="N11" s="24">
        <f t="shared" si="5"/>
        <v>42.344608021203534</v>
      </c>
      <c r="O11" s="24">
        <f t="shared" si="5"/>
        <v>31.110324260476062</v>
      </c>
      <c r="P11" s="24">
        <f t="shared" si="5"/>
        <v>23.818842011926986</v>
      </c>
      <c r="Q11" s="24">
        <f t="shared" si="5"/>
        <v>17.499557396517787</v>
      </c>
      <c r="R11" s="17"/>
    </row>
    <row r="12" spans="1:18" ht="18.75" thickBot="1">
      <c r="A12" s="15"/>
      <c r="B12" s="9" t="s">
        <v>8</v>
      </c>
      <c r="C12" s="39" t="s">
        <v>33</v>
      </c>
      <c r="D12" s="39"/>
      <c r="E12" s="39"/>
      <c r="F12" s="39"/>
      <c r="G12" s="39"/>
      <c r="H12" s="39"/>
      <c r="I12" s="39"/>
      <c r="J12" s="6" t="s">
        <v>16</v>
      </c>
      <c r="K12" s="25">
        <f t="shared" ref="K12:Q12" si="6">2.69*K5</f>
        <v>16.901768476313087</v>
      </c>
      <c r="L12" s="25">
        <f t="shared" si="6"/>
        <v>10.141061085787852</v>
      </c>
      <c r="M12" s="25">
        <f t="shared" si="6"/>
        <v>7.6057958143408886</v>
      </c>
      <c r="N12" s="25">
        <f t="shared" si="6"/>
        <v>6.7607073905252344</v>
      </c>
      <c r="O12" s="25">
        <f t="shared" si="6"/>
        <v>6.7607073905252344</v>
      </c>
      <c r="P12" s="25">
        <f t="shared" si="6"/>
        <v>6.7607073905252344</v>
      </c>
      <c r="Q12" s="25">
        <f t="shared" si="6"/>
        <v>6.7607073905252344</v>
      </c>
      <c r="R12" s="17"/>
    </row>
    <row r="13" spans="1:18" ht="18.75" thickBot="1">
      <c r="A13" s="15"/>
      <c r="B13" s="5"/>
      <c r="C13" s="30">
        <f t="shared" ref="C13:I13" si="7">5.8*10^7</f>
        <v>58000000</v>
      </c>
      <c r="D13" s="30">
        <f t="shared" si="7"/>
        <v>58000000</v>
      </c>
      <c r="E13" s="30">
        <f t="shared" si="7"/>
        <v>58000000</v>
      </c>
      <c r="F13" s="30">
        <f t="shared" si="7"/>
        <v>58000000</v>
      </c>
      <c r="G13" s="30">
        <f t="shared" si="7"/>
        <v>58000000</v>
      </c>
      <c r="H13" s="30">
        <f t="shared" si="7"/>
        <v>58000000</v>
      </c>
      <c r="I13" s="30">
        <f t="shared" si="7"/>
        <v>58000000</v>
      </c>
      <c r="J13" s="6" t="s">
        <v>17</v>
      </c>
      <c r="K13" s="25">
        <f t="shared" ref="K13:Q13" si="8">K11-K12</f>
        <v>72.734269317520955</v>
      </c>
      <c r="L13" s="25">
        <f t="shared" si="8"/>
        <v>72.23028676456714</v>
      </c>
      <c r="M13" s="25">
        <f t="shared" si="8"/>
        <v>52.681606755997279</v>
      </c>
      <c r="N13" s="25">
        <f t="shared" si="8"/>
        <v>35.583900630678301</v>
      </c>
      <c r="O13" s="25">
        <f t="shared" si="8"/>
        <v>24.349616869950829</v>
      </c>
      <c r="P13" s="25">
        <f t="shared" si="8"/>
        <v>17.058134621401752</v>
      </c>
      <c r="Q13" s="25">
        <f t="shared" si="8"/>
        <v>10.738850005992553</v>
      </c>
      <c r="R13" s="17"/>
    </row>
    <row r="14" spans="1:18" ht="18">
      <c r="A14" s="15"/>
      <c r="B14" s="5"/>
      <c r="C14" s="6"/>
      <c r="D14" s="6"/>
      <c r="E14" s="6"/>
      <c r="F14" s="6"/>
      <c r="G14" s="6"/>
      <c r="H14" s="6"/>
      <c r="I14" s="6"/>
      <c r="J14" s="6" t="s">
        <v>18</v>
      </c>
      <c r="K14" s="26">
        <f t="shared" ref="K14:Q14" si="9">10^6/(2*PI()*C5*K11)</f>
        <v>253.65267141764875</v>
      </c>
      <c r="L14" s="26">
        <f t="shared" si="9"/>
        <v>193.21638803462827</v>
      </c>
      <c r="M14" s="26">
        <f t="shared" si="9"/>
        <v>188.56692669063352</v>
      </c>
      <c r="N14" s="26">
        <f t="shared" si="9"/>
        <v>208.80914232233729</v>
      </c>
      <c r="O14" s="26">
        <f t="shared" si="9"/>
        <v>243.61066604272688</v>
      </c>
      <c r="P14" s="26">
        <f t="shared" si="9"/>
        <v>278.41218976311643</v>
      </c>
      <c r="Q14" s="26">
        <f t="shared" si="9"/>
        <v>324.81422139030252</v>
      </c>
      <c r="R14" s="17"/>
    </row>
    <row r="15" spans="1:18" ht="18.75" thickBot="1">
      <c r="A15" s="15"/>
      <c r="B15" s="98" t="s">
        <v>80</v>
      </c>
      <c r="C15" s="6"/>
      <c r="D15" s="6"/>
      <c r="E15" s="6"/>
      <c r="F15" s="6"/>
      <c r="G15" s="6"/>
      <c r="H15" s="6"/>
      <c r="I15" s="6"/>
      <c r="J15" s="6" t="s">
        <v>19</v>
      </c>
      <c r="K15" s="35">
        <f t="shared" ref="K15:Q15" si="10">31171*(K7/((300/C5)^2))^2</f>
        <v>9.1192185003215048E-2</v>
      </c>
      <c r="L15" s="35">
        <f t="shared" si="10"/>
        <v>4.9223270205817016E-2</v>
      </c>
      <c r="M15" s="35">
        <f t="shared" si="10"/>
        <v>5.9831192580609385E-2</v>
      </c>
      <c r="N15" s="35">
        <f t="shared" si="10"/>
        <v>0.10206937309878215</v>
      </c>
      <c r="O15" s="35">
        <f t="shared" si="10"/>
        <v>0.18909611482266664</v>
      </c>
      <c r="P15" s="35">
        <f t="shared" si="10"/>
        <v>0.32258962362084248</v>
      </c>
      <c r="Q15" s="35">
        <f t="shared" si="10"/>
        <v>0.59763710363707012</v>
      </c>
      <c r="R15" s="17"/>
    </row>
    <row r="16" spans="1:18" ht="18">
      <c r="A16" s="15"/>
      <c r="B16" s="99" t="s">
        <v>82</v>
      </c>
      <c r="C16" s="104">
        <f>(300/C5)/8</f>
        <v>5.3571428571428568</v>
      </c>
      <c r="D16" s="104">
        <f t="shared" ref="D16:I16" si="11">(300/D5)/8</f>
        <v>3.75</v>
      </c>
      <c r="E16" s="104">
        <f t="shared" si="11"/>
        <v>2.6785714285714284</v>
      </c>
      <c r="F16" s="104">
        <f t="shared" si="11"/>
        <v>2.0833333333333335</v>
      </c>
      <c r="G16" s="104">
        <f t="shared" si="11"/>
        <v>1.7857142857142858</v>
      </c>
      <c r="H16" s="104">
        <f t="shared" si="11"/>
        <v>1.5625</v>
      </c>
      <c r="I16" s="104">
        <f t="shared" si="11"/>
        <v>1.3392857142857142</v>
      </c>
      <c r="J16" s="6" t="s">
        <v>20</v>
      </c>
      <c r="K16" s="35">
        <f t="shared" ref="K16:Q16" si="12">((2*K5/(C7/1000))*SQRT(((C5)/10)/(C13*10^-6)))/1000</f>
        <v>6.2751224724951482E-2</v>
      </c>
      <c r="L16" s="35">
        <f t="shared" si="12"/>
        <v>4.5001235437220267E-2</v>
      </c>
      <c r="M16" s="35">
        <f t="shared" si="12"/>
        <v>3.9934634877696731E-2</v>
      </c>
      <c r="N16" s="35">
        <f t="shared" si="12"/>
        <v>4.0250328603638801E-2</v>
      </c>
      <c r="O16" s="35">
        <f t="shared" si="12"/>
        <v>4.3475323784315331E-2</v>
      </c>
      <c r="P16" s="35">
        <f t="shared" si="12"/>
        <v>4.6477076108563511E-2</v>
      </c>
      <c r="Q16" s="35">
        <f t="shared" si="12"/>
        <v>5.0200979779961186E-2</v>
      </c>
      <c r="R16" s="17"/>
    </row>
    <row r="17" spans="1:18">
      <c r="A17" s="15"/>
      <c r="B17" s="100" t="s">
        <v>81</v>
      </c>
      <c r="C17" s="103">
        <f>K5</f>
        <v>6.2831853071795862</v>
      </c>
      <c r="D17" s="103">
        <f t="shared" ref="D17:I17" si="13">L5</f>
        <v>3.7699111843077517</v>
      </c>
      <c r="E17" s="103">
        <f t="shared" si="13"/>
        <v>2.8274333882308138</v>
      </c>
      <c r="F17" s="103">
        <f t="shared" si="13"/>
        <v>2.5132741228718345</v>
      </c>
      <c r="G17" s="103">
        <f t="shared" si="13"/>
        <v>2.5132741228718345</v>
      </c>
      <c r="H17" s="103">
        <f t="shared" si="13"/>
        <v>2.5132741228718345</v>
      </c>
      <c r="I17" s="103">
        <f t="shared" si="13"/>
        <v>2.5132741228718345</v>
      </c>
      <c r="J17" s="6" t="s">
        <v>21</v>
      </c>
      <c r="K17" s="26">
        <f t="shared" ref="K17:Q17" si="14">(K15/(K15+K16))*100</f>
        <v>59.237472499954578</v>
      </c>
      <c r="L17" s="26">
        <f t="shared" si="14"/>
        <v>52.240412268434511</v>
      </c>
      <c r="M17" s="26">
        <f t="shared" si="14"/>
        <v>59.971629670103113</v>
      </c>
      <c r="N17" s="26">
        <f t="shared" si="14"/>
        <v>71.718372001791437</v>
      </c>
      <c r="O17" s="26">
        <f t="shared" si="14"/>
        <v>81.306679769142477</v>
      </c>
      <c r="P17" s="26">
        <f t="shared" si="14"/>
        <v>87.406862731685138</v>
      </c>
      <c r="Q17" s="26">
        <f t="shared" si="14"/>
        <v>92.250998966412183</v>
      </c>
      <c r="R17" s="17"/>
    </row>
    <row r="18" spans="1:18" ht="15.75" thickBot="1">
      <c r="A18" s="15"/>
      <c r="B18" s="99" t="s">
        <v>83</v>
      </c>
      <c r="C18" s="105">
        <f>(300/C5)/4</f>
        <v>10.714285714285714</v>
      </c>
      <c r="D18" s="105">
        <f t="shared" ref="D18:I18" si="15">(300/D5)/4</f>
        <v>7.5</v>
      </c>
      <c r="E18" s="105">
        <f t="shared" si="15"/>
        <v>5.3571428571428568</v>
      </c>
      <c r="F18" s="105">
        <f t="shared" si="15"/>
        <v>4.166666666666667</v>
      </c>
      <c r="G18" s="105">
        <f t="shared" si="15"/>
        <v>3.5714285714285716</v>
      </c>
      <c r="H18" s="105">
        <f t="shared" si="15"/>
        <v>3.125</v>
      </c>
      <c r="I18" s="105">
        <f t="shared" si="15"/>
        <v>2.6785714285714284</v>
      </c>
      <c r="J18" s="6" t="s">
        <v>28</v>
      </c>
      <c r="K18" s="27">
        <f t="shared" ref="K18:Q18" si="16">10*LOG(K17/100)</f>
        <v>-2.2740347990673531</v>
      </c>
      <c r="L18" s="27">
        <f t="shared" si="16"/>
        <v>-2.819934043746426</v>
      </c>
      <c r="M18" s="27">
        <f t="shared" si="16"/>
        <v>-2.2205414947609889</v>
      </c>
      <c r="N18" s="27">
        <f t="shared" si="16"/>
        <v>-1.4436957742919689</v>
      </c>
      <c r="O18" s="27">
        <f t="shared" si="16"/>
        <v>-0.89873773376287602</v>
      </c>
      <c r="P18" s="27">
        <f t="shared" si="16"/>
        <v>-0.58454467485802819</v>
      </c>
      <c r="Q18" s="27">
        <f t="shared" si="16"/>
        <v>-0.35028922261027801</v>
      </c>
      <c r="R18" s="17"/>
    </row>
    <row r="19" spans="1:18">
      <c r="A19" s="15"/>
      <c r="B19" s="5"/>
      <c r="C19" s="6"/>
      <c r="D19" s="6"/>
      <c r="E19" s="6"/>
      <c r="F19" s="6"/>
      <c r="G19" s="6"/>
      <c r="H19" s="6"/>
      <c r="I19" s="6"/>
      <c r="J19" s="6" t="s">
        <v>22</v>
      </c>
      <c r="K19" s="26">
        <f t="shared" ref="K19:Q19" si="17">K14/(2*(K15+K16))</f>
        <v>823.85037419123353</v>
      </c>
      <c r="L19" s="26">
        <f t="shared" si="17"/>
        <v>1025.2979663624587</v>
      </c>
      <c r="M19" s="26">
        <f t="shared" si="17"/>
        <v>945.04767561537506</v>
      </c>
      <c r="N19" s="26">
        <f t="shared" si="17"/>
        <v>733.59183522932199</v>
      </c>
      <c r="O19" s="26">
        <f t="shared" si="17"/>
        <v>523.73298179231688</v>
      </c>
      <c r="P19" s="26">
        <f t="shared" si="17"/>
        <v>377.18411057844554</v>
      </c>
      <c r="Q19" s="26">
        <f t="shared" si="17"/>
        <v>250.69089769859255</v>
      </c>
      <c r="R19" s="17"/>
    </row>
    <row r="20" spans="1:18">
      <c r="A20" s="15"/>
      <c r="B20" s="5"/>
      <c r="C20" s="6"/>
      <c r="D20" s="6"/>
      <c r="E20" s="6"/>
      <c r="F20" s="6"/>
      <c r="G20" s="6"/>
      <c r="H20" s="6"/>
      <c r="I20" s="6"/>
      <c r="J20" s="6" t="s">
        <v>23</v>
      </c>
      <c r="K20" s="26">
        <f t="shared" ref="K20:Q20" si="18">1000*(C5/K19)</f>
        <v>8.4966884998648418</v>
      </c>
      <c r="L20" s="26">
        <f t="shared" si="18"/>
        <v>9.7532622984495845</v>
      </c>
      <c r="M20" s="26">
        <f t="shared" si="18"/>
        <v>14.814067439384782</v>
      </c>
      <c r="N20" s="26">
        <f t="shared" si="18"/>
        <v>24.53680525816263</v>
      </c>
      <c r="O20" s="26">
        <f t="shared" si="18"/>
        <v>40.096768258004083</v>
      </c>
      <c r="P20" s="26">
        <f t="shared" si="18"/>
        <v>63.629403590712911</v>
      </c>
      <c r="Q20" s="26">
        <f t="shared" si="18"/>
        <v>111.6913308662072</v>
      </c>
      <c r="R20" s="17"/>
    </row>
    <row r="21" spans="1:18" ht="18">
      <c r="A21" s="15"/>
      <c r="B21" s="5"/>
      <c r="C21" s="6"/>
      <c r="D21" s="6"/>
      <c r="E21" s="6"/>
      <c r="F21" s="6"/>
      <c r="G21" s="6"/>
      <c r="H21" s="6"/>
      <c r="I21" s="6"/>
      <c r="J21" s="6" t="s">
        <v>24</v>
      </c>
      <c r="K21" s="26">
        <f t="shared" ref="K21:Q21" si="19">SQRT(C8*K14*K19)</f>
        <v>4571.343875295709</v>
      </c>
      <c r="L21" s="26">
        <f t="shared" si="19"/>
        <v>4450.8917052631605</v>
      </c>
      <c r="M21" s="26">
        <f t="shared" si="19"/>
        <v>4221.4302761850522</v>
      </c>
      <c r="N21" s="26">
        <f t="shared" si="19"/>
        <v>3913.8303735458962</v>
      </c>
      <c r="O21" s="26">
        <f t="shared" si="19"/>
        <v>3571.9314176362577</v>
      </c>
      <c r="P21" s="26">
        <f t="shared" si="19"/>
        <v>3240.5656014035339</v>
      </c>
      <c r="Q21" s="26">
        <f t="shared" si="19"/>
        <v>2853.5586334541003</v>
      </c>
      <c r="R21" s="17"/>
    </row>
    <row r="22" spans="1:18" ht="18.75" thickBot="1">
      <c r="A22" s="15"/>
      <c r="B22" s="99" t="s">
        <v>85</v>
      </c>
      <c r="C22" s="6"/>
      <c r="D22" s="6"/>
      <c r="E22" s="6"/>
      <c r="F22" s="6"/>
      <c r="G22" s="6"/>
      <c r="H22" s="6"/>
      <c r="I22" s="6"/>
      <c r="J22" s="6" t="s">
        <v>25</v>
      </c>
      <c r="K22" s="26">
        <f t="shared" ref="K22:Q22" si="20">1.41*K21</f>
        <v>6445.5948641669493</v>
      </c>
      <c r="L22" s="26">
        <f t="shared" si="20"/>
        <v>6275.7573044210558</v>
      </c>
      <c r="M22" s="26">
        <f t="shared" si="20"/>
        <v>5952.2166894209231</v>
      </c>
      <c r="N22" s="26">
        <f t="shared" si="20"/>
        <v>5518.5008266997138</v>
      </c>
      <c r="O22" s="26">
        <f t="shared" si="20"/>
        <v>5036.4232988671229</v>
      </c>
      <c r="P22" s="26">
        <f t="shared" si="20"/>
        <v>4569.1974979789829</v>
      </c>
      <c r="Q22" s="26">
        <f t="shared" si="20"/>
        <v>4023.5176731702813</v>
      </c>
      <c r="R22" s="17"/>
    </row>
    <row r="23" spans="1:18" ht="15.75" thickBot="1">
      <c r="A23" s="15"/>
      <c r="B23" s="99" t="s">
        <v>30</v>
      </c>
      <c r="C23" s="117">
        <f>K21/1000</f>
        <v>4.5713438752957094</v>
      </c>
      <c r="D23" s="117">
        <f t="shared" ref="D23:I23" si="21">L21/1000</f>
        <v>4.4508917052631602</v>
      </c>
      <c r="E23" s="117">
        <f t="shared" si="21"/>
        <v>4.2214302761850524</v>
      </c>
      <c r="F23" s="117">
        <f t="shared" si="21"/>
        <v>3.9138303735458964</v>
      </c>
      <c r="G23" s="117">
        <f t="shared" si="21"/>
        <v>3.5719314176362578</v>
      </c>
      <c r="H23" s="117">
        <f t="shared" si="21"/>
        <v>3.2405656014035338</v>
      </c>
      <c r="I23" s="117">
        <f t="shared" si="21"/>
        <v>2.8535586334541003</v>
      </c>
      <c r="J23" s="6" t="s">
        <v>26</v>
      </c>
      <c r="K23" s="28">
        <f t="shared" ref="K23:Q23" si="22">SQRT((C8*K19)/K14)</f>
        <v>18.022060835183627</v>
      </c>
      <c r="L23" s="28">
        <f t="shared" si="22"/>
        <v>23.035787753497758</v>
      </c>
      <c r="M23" s="28">
        <f t="shared" si="22"/>
        <v>22.386907133035109</v>
      </c>
      <c r="N23" s="28">
        <f t="shared" si="22"/>
        <v>18.74357765190253</v>
      </c>
      <c r="O23" s="28">
        <f t="shared" si="22"/>
        <v>14.662459060843323</v>
      </c>
      <c r="P23" s="28">
        <f t="shared" si="22"/>
        <v>11.639453014470124</v>
      </c>
      <c r="Q23" s="28">
        <f t="shared" si="22"/>
        <v>8.7852022649747639</v>
      </c>
      <c r="R23" s="17"/>
    </row>
    <row r="24" spans="1:18" ht="15.75" thickBot="1">
      <c r="A24" s="15"/>
      <c r="B24" s="118"/>
      <c r="C24" s="11"/>
      <c r="D24" s="111"/>
      <c r="E24" s="10"/>
      <c r="F24" s="10"/>
      <c r="G24" s="10"/>
      <c r="H24" s="10"/>
      <c r="I24" s="10"/>
      <c r="J24" s="11" t="s">
        <v>29</v>
      </c>
      <c r="K24" s="29">
        <f t="shared" ref="K24:Q24" si="23">(0.0661*(1/SQRT(C5)))</f>
        <v>2.4983451665909921E-2</v>
      </c>
      <c r="L24" s="29">
        <f t="shared" si="23"/>
        <v>2.090265533371299E-2</v>
      </c>
      <c r="M24" s="29">
        <f t="shared" si="23"/>
        <v>1.7665968090411256E-2</v>
      </c>
      <c r="N24" s="29">
        <f t="shared" si="23"/>
        <v>1.55799194121436E-2</v>
      </c>
      <c r="O24" s="29">
        <f t="shared" si="23"/>
        <v>1.4424202544599099E-2</v>
      </c>
      <c r="P24" s="29">
        <f t="shared" si="23"/>
        <v>1.3492605999830676E-2</v>
      </c>
      <c r="Q24" s="29">
        <f t="shared" si="23"/>
        <v>1.2491725832954961E-2</v>
      </c>
      <c r="R24" s="17"/>
    </row>
    <row r="25" spans="1:18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7"/>
    </row>
    <row r="26" spans="1:18" ht="15.75" thickBot="1">
      <c r="A26" s="18"/>
      <c r="B26" s="21" t="s">
        <v>34</v>
      </c>
      <c r="C26" s="19"/>
      <c r="D26" s="19"/>
      <c r="E26" s="19"/>
      <c r="F26" s="19"/>
      <c r="G26" s="19"/>
      <c r="H26" s="19"/>
      <c r="I26" s="19"/>
      <c r="J26" s="21" t="s">
        <v>62</v>
      </c>
      <c r="K26" s="19"/>
      <c r="L26" s="19"/>
      <c r="M26" s="19"/>
      <c r="N26" s="19"/>
      <c r="O26" s="19"/>
      <c r="P26" s="19"/>
      <c r="Q26" s="19"/>
      <c r="R26" s="20"/>
    </row>
  </sheetData>
  <sheetProtection password="CF6F" sheet="1" objects="1" scenarios="1" selectLockedCell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2"/>
  <sheetViews>
    <sheetView zoomScaleNormal="100" workbookViewId="0">
      <selection activeCell="C10" sqref="C10"/>
    </sheetView>
  </sheetViews>
  <sheetFormatPr defaultRowHeight="15"/>
  <cols>
    <col min="2" max="2" width="31.140625" customWidth="1"/>
    <col min="3" max="3" width="13.85546875" customWidth="1"/>
    <col min="4" max="4" width="13.42578125" customWidth="1"/>
    <col min="5" max="5" width="36.140625" customWidth="1"/>
    <col min="6" max="6" width="11" customWidth="1"/>
    <col min="7" max="7" width="11.5703125" customWidth="1"/>
  </cols>
  <sheetData>
    <row r="1" spans="1:8">
      <c r="A1" s="12"/>
      <c r="B1" s="13"/>
      <c r="C1" s="13"/>
      <c r="D1" s="13"/>
      <c r="E1" s="13"/>
      <c r="F1" s="13"/>
      <c r="G1" s="13"/>
      <c r="H1" s="14"/>
    </row>
    <row r="2" spans="1:8" ht="15.75" thickBot="1">
      <c r="A2" s="15"/>
      <c r="B2" s="16"/>
      <c r="C2" s="16"/>
      <c r="D2" s="16"/>
      <c r="E2" s="16"/>
      <c r="F2" s="16"/>
      <c r="G2" s="16"/>
      <c r="H2" s="17"/>
    </row>
    <row r="3" spans="1:8">
      <c r="A3" s="15"/>
      <c r="B3" s="2" t="s">
        <v>5</v>
      </c>
      <c r="C3" s="3" t="s">
        <v>30</v>
      </c>
      <c r="D3" s="3" t="s">
        <v>31</v>
      </c>
      <c r="E3" s="3" t="s">
        <v>7</v>
      </c>
      <c r="F3" s="3" t="s">
        <v>30</v>
      </c>
      <c r="G3" s="4" t="s">
        <v>31</v>
      </c>
      <c r="H3" s="17"/>
    </row>
    <row r="4" spans="1:8" ht="15.75" thickBot="1">
      <c r="A4" s="15"/>
      <c r="B4" s="5"/>
      <c r="C4" s="6"/>
      <c r="D4" s="6"/>
      <c r="E4" s="7" t="s">
        <v>9</v>
      </c>
      <c r="F4" s="6"/>
      <c r="G4" s="8"/>
      <c r="H4" s="17"/>
    </row>
    <row r="5" spans="1:8">
      <c r="A5" s="15"/>
      <c r="B5" s="5" t="s">
        <v>0</v>
      </c>
      <c r="C5" s="71">
        <v>7</v>
      </c>
      <c r="D5" s="72">
        <v>7</v>
      </c>
      <c r="E5" s="6" t="s">
        <v>10</v>
      </c>
      <c r="F5" s="33">
        <f>6*(C6/2)</f>
        <v>6</v>
      </c>
      <c r="G5" s="51">
        <f>6*(D6/2)</f>
        <v>6</v>
      </c>
      <c r="H5" s="17"/>
    </row>
    <row r="6" spans="1:8">
      <c r="A6" s="15"/>
      <c r="B6" s="5" t="s">
        <v>69</v>
      </c>
      <c r="C6" s="73">
        <v>2</v>
      </c>
      <c r="D6" s="74">
        <v>2</v>
      </c>
      <c r="E6" s="6" t="s">
        <v>11</v>
      </c>
      <c r="F6" s="43">
        <f>C6/2</f>
        <v>1</v>
      </c>
      <c r="G6" s="59">
        <f>D6/2</f>
        <v>1</v>
      </c>
      <c r="H6" s="17"/>
    </row>
    <row r="7" spans="1:8" ht="17.25">
      <c r="A7" s="15"/>
      <c r="B7" s="70" t="s">
        <v>68</v>
      </c>
      <c r="C7" s="75">
        <f>F5/PI()</f>
        <v>1.909859317102744</v>
      </c>
      <c r="D7" s="76">
        <f>G5/PI()</f>
        <v>1.909859317102744</v>
      </c>
      <c r="E7" s="6" t="s">
        <v>12</v>
      </c>
      <c r="F7" s="22">
        <f>((3*SQRT(3))/2)*((C6/2)^2)</f>
        <v>2.598076211353316</v>
      </c>
      <c r="G7" s="49">
        <f>((3*SQRT(3))/2)*((D6/2)^2)</f>
        <v>2.598076211353316</v>
      </c>
      <c r="H7" s="17"/>
    </row>
    <row r="8" spans="1:8" ht="15.75" thickBot="1">
      <c r="A8" s="15"/>
      <c r="B8" s="5" t="s">
        <v>2</v>
      </c>
      <c r="C8" s="73">
        <v>22</v>
      </c>
      <c r="D8" s="74">
        <v>25</v>
      </c>
      <c r="E8" s="6" t="s">
        <v>27</v>
      </c>
      <c r="F8" s="34">
        <f>C6/5*100</f>
        <v>40</v>
      </c>
      <c r="G8" s="50">
        <f>D6/5*100</f>
        <v>40</v>
      </c>
      <c r="H8" s="17"/>
    </row>
    <row r="9" spans="1:8" ht="15.75" thickBot="1">
      <c r="A9" s="15"/>
      <c r="B9" s="5" t="s">
        <v>3</v>
      </c>
      <c r="C9" s="73">
        <v>100</v>
      </c>
      <c r="D9" s="74">
        <v>100</v>
      </c>
      <c r="E9" s="7" t="s">
        <v>13</v>
      </c>
      <c r="F9" s="37"/>
      <c r="G9" s="38"/>
      <c r="H9" s="17"/>
    </row>
    <row r="10" spans="1:8">
      <c r="A10" s="15"/>
      <c r="B10" s="5" t="s">
        <v>79</v>
      </c>
      <c r="C10" s="73">
        <v>2</v>
      </c>
      <c r="D10" s="74">
        <v>2</v>
      </c>
      <c r="E10" s="6" t="s">
        <v>14</v>
      </c>
      <c r="F10" s="23">
        <f>((C7^2)*(C10^2))/(C12+0.45*C7)</f>
        <v>13.771705799017482</v>
      </c>
      <c r="G10" s="23">
        <f>((D7^2)*(D10^2))/(D12+0.45*D7)</f>
        <v>13.771705799017482</v>
      </c>
      <c r="H10" s="17"/>
    </row>
    <row r="11" spans="1:8" ht="15.75" thickBot="1">
      <c r="A11" s="15"/>
      <c r="B11" s="5" t="s">
        <v>66</v>
      </c>
      <c r="C11" s="93">
        <v>10</v>
      </c>
      <c r="D11" s="91">
        <v>10</v>
      </c>
      <c r="E11" s="6" t="s">
        <v>15</v>
      </c>
      <c r="F11" s="24">
        <f>25330/((C5^2)*F10)</f>
        <v>37.536292384860865</v>
      </c>
      <c r="G11" s="52">
        <f>25330/((D5^2)*G10)</f>
        <v>37.536292384860865</v>
      </c>
      <c r="H11" s="17"/>
    </row>
    <row r="12" spans="1:8" ht="18.75" thickBot="1">
      <c r="A12" s="15"/>
      <c r="B12" s="5" t="s">
        <v>76</v>
      </c>
      <c r="C12" s="67">
        <f>(C10*C11)/100</f>
        <v>0.2</v>
      </c>
      <c r="D12" s="68">
        <f>(D10*D11)/100</f>
        <v>0.2</v>
      </c>
      <c r="E12" s="6" t="s">
        <v>16</v>
      </c>
      <c r="F12" s="25">
        <f>2.69*F5</f>
        <v>16.14</v>
      </c>
      <c r="G12" s="53">
        <f>2.69*G5</f>
        <v>16.14</v>
      </c>
      <c r="H12" s="17"/>
    </row>
    <row r="13" spans="1:8" ht="18.75" thickBot="1">
      <c r="A13" s="15"/>
      <c r="B13" s="9" t="s">
        <v>6</v>
      </c>
      <c r="C13" s="39" t="s">
        <v>33</v>
      </c>
      <c r="D13" s="39" t="s">
        <v>32</v>
      </c>
      <c r="E13" s="6" t="s">
        <v>17</v>
      </c>
      <c r="F13" s="25">
        <f>F11-F12</f>
        <v>21.396292384860864</v>
      </c>
      <c r="G13" s="53">
        <f>G11-G12</f>
        <v>21.396292384860864</v>
      </c>
      <c r="H13" s="17"/>
    </row>
    <row r="14" spans="1:8" ht="18.75" thickBot="1">
      <c r="A14" s="15"/>
      <c r="B14" s="110" t="s">
        <v>8</v>
      </c>
      <c r="C14" s="30">
        <f>5.8*10^7</f>
        <v>58000000</v>
      </c>
      <c r="D14" s="47">
        <f>3.5*10^7</f>
        <v>35000000</v>
      </c>
      <c r="E14" s="6" t="s">
        <v>18</v>
      </c>
      <c r="F14" s="26">
        <f>10^6/(2*PI()*C5*F11)</f>
        <v>605.7183327693117</v>
      </c>
      <c r="G14" s="54">
        <f>10^6/(2*PI()*D5*G11)</f>
        <v>605.7183327693117</v>
      </c>
      <c r="H14" s="17"/>
    </row>
    <row r="15" spans="1:8" ht="18.75" thickBot="1">
      <c r="A15" s="15"/>
      <c r="B15" s="98" t="s">
        <v>80</v>
      </c>
      <c r="C15" s="6"/>
      <c r="D15" s="6"/>
      <c r="E15" s="6" t="s">
        <v>19</v>
      </c>
      <c r="F15" s="35">
        <f>(31171*C10^2*F7^2)/(300/C5)^4</f>
        <v>0.24947190333333338</v>
      </c>
      <c r="G15" s="35">
        <f>(31171*D10^2*G7^2)/(300/D5)^4</f>
        <v>0.24947190333333338</v>
      </c>
      <c r="H15" s="17"/>
    </row>
    <row r="16" spans="1:8" ht="18">
      <c r="A16" s="15"/>
      <c r="B16" s="99" t="s">
        <v>82</v>
      </c>
      <c r="C16" s="104">
        <f>(300/C5)/8</f>
        <v>5.3571428571428568</v>
      </c>
      <c r="D16" s="6"/>
      <c r="E16" s="6" t="s">
        <v>20</v>
      </c>
      <c r="F16" s="35">
        <f>((C10*F5)/(1.2*(C8/1000)))*SQRT(C5*10^6)*(10^-7)</f>
        <v>0.12026142323020866</v>
      </c>
      <c r="G16" s="35">
        <f>((D10*G5)/(0.935*(D8/1000)))*SQRT(D5*10^6)*(10^-7)</f>
        <v>0.13582466623647091</v>
      </c>
      <c r="H16" s="17"/>
    </row>
    <row r="17" spans="1:12">
      <c r="A17" s="15"/>
      <c r="B17" s="100" t="s">
        <v>81</v>
      </c>
      <c r="C17" s="103">
        <f>F5</f>
        <v>6</v>
      </c>
      <c r="D17" s="6"/>
      <c r="E17" s="6" t="s">
        <v>21</v>
      </c>
      <c r="F17" s="26">
        <f>(F15/(F15+F16))*100</f>
        <v>67.473469500850996</v>
      </c>
      <c r="G17" s="54">
        <f>(G15/(G15+G16))*100</f>
        <v>64.748020884763278</v>
      </c>
      <c r="H17" s="17"/>
    </row>
    <row r="18" spans="1:12" ht="15.75" thickBot="1">
      <c r="A18" s="15"/>
      <c r="B18" s="99" t="s">
        <v>83</v>
      </c>
      <c r="C18" s="105">
        <f>(300/C5)/4</f>
        <v>10.714285714285714</v>
      </c>
      <c r="D18" s="6"/>
      <c r="E18" s="6" t="s">
        <v>28</v>
      </c>
      <c r="F18" s="27">
        <f>10*LOG(F17/100)</f>
        <v>-1.7086695775141549</v>
      </c>
      <c r="G18" s="55">
        <f>10*LOG(G17/100)</f>
        <v>-1.8877350187161299</v>
      </c>
      <c r="H18" s="17"/>
    </row>
    <row r="19" spans="1:12">
      <c r="A19" s="15"/>
      <c r="B19" s="99" t="s">
        <v>86</v>
      </c>
      <c r="C19" s="6"/>
      <c r="D19" s="106">
        <f>(300/D5)/8</f>
        <v>5.3571428571428568</v>
      </c>
      <c r="E19" s="6" t="s">
        <v>22</v>
      </c>
      <c r="F19" s="26">
        <f>F14/(2*(F15+F16))</f>
        <v>819.12866551564889</v>
      </c>
      <c r="G19" s="54">
        <f>G14/(2*(G15+G16))</f>
        <v>786.04168919232166</v>
      </c>
      <c r="H19" s="17"/>
    </row>
    <row r="20" spans="1:12">
      <c r="A20" s="15"/>
      <c r="B20" s="100" t="s">
        <v>81</v>
      </c>
      <c r="C20" s="6"/>
      <c r="D20" s="102">
        <f>G5</f>
        <v>6</v>
      </c>
      <c r="E20" s="6" t="s">
        <v>23</v>
      </c>
      <c r="F20" s="26">
        <f>1000*(C5/F19)</f>
        <v>8.5456660164535165</v>
      </c>
      <c r="G20" s="54">
        <f>1000*(D5/G19)</f>
        <v>8.9053800787496176</v>
      </c>
      <c r="H20" s="17"/>
    </row>
    <row r="21" spans="1:12" ht="18.75" thickBot="1">
      <c r="A21" s="15"/>
      <c r="B21" s="99" t="s">
        <v>84</v>
      </c>
      <c r="C21" s="6"/>
      <c r="D21" s="107">
        <f>(300/D5)/4</f>
        <v>10.714285714285714</v>
      </c>
      <c r="E21" s="6" t="s">
        <v>24</v>
      </c>
      <c r="F21" s="26">
        <f>SQRT(C9*F14*F19)</f>
        <v>7043.8714468656372</v>
      </c>
      <c r="G21" s="54">
        <f>SQRT(D9*G14*G19)</f>
        <v>6900.1439221565988</v>
      </c>
      <c r="H21" s="17"/>
    </row>
    <row r="22" spans="1:12" ht="18.75" thickBot="1">
      <c r="A22" s="15"/>
      <c r="B22" s="99" t="s">
        <v>85</v>
      </c>
      <c r="C22" s="6"/>
      <c r="D22" s="6"/>
      <c r="E22" s="6" t="s">
        <v>25</v>
      </c>
      <c r="F22" s="26">
        <f>1.41*F21</f>
        <v>9931.8587400805482</v>
      </c>
      <c r="G22" s="54">
        <f>1.41*G21</f>
        <v>9729.2029302408046</v>
      </c>
      <c r="H22" s="17"/>
    </row>
    <row r="23" spans="1:12">
      <c r="A23" s="15"/>
      <c r="B23" s="99" t="s">
        <v>30</v>
      </c>
      <c r="C23" s="108">
        <f>F21/1000</f>
        <v>7.0438714468656372</v>
      </c>
      <c r="D23" s="6"/>
      <c r="E23" s="6" t="s">
        <v>26</v>
      </c>
      <c r="F23" s="28">
        <f>SQRT((C9*F19)/F14)</f>
        <v>11.628955350684922</v>
      </c>
      <c r="G23" s="56">
        <f>SQRT((D9*G19)/G14)</f>
        <v>11.391670928316652</v>
      </c>
      <c r="H23" s="17"/>
      <c r="L23" t="s">
        <v>67</v>
      </c>
    </row>
    <row r="24" spans="1:12" ht="15.75" thickBot="1">
      <c r="A24" s="15"/>
      <c r="B24" s="101" t="s">
        <v>31</v>
      </c>
      <c r="C24" s="109">
        <f>G21/1000</f>
        <v>6.900143922156599</v>
      </c>
      <c r="D24" s="10"/>
      <c r="E24" s="11" t="s">
        <v>29</v>
      </c>
      <c r="F24" s="29">
        <f>(0.0661*(1/SQRT(C5)))</f>
        <v>2.4983451665909921E-2</v>
      </c>
      <c r="G24" s="57">
        <f>(0.0851*(1/SQRT(D5)))</f>
        <v>3.2164776653085231E-2</v>
      </c>
      <c r="H24" s="17"/>
    </row>
    <row r="25" spans="1:12">
      <c r="A25" s="15"/>
      <c r="B25" s="16"/>
      <c r="C25" s="16"/>
      <c r="D25" s="16"/>
      <c r="E25" s="44" t="s">
        <v>36</v>
      </c>
      <c r="F25" s="16"/>
      <c r="G25" s="16"/>
      <c r="H25" s="17"/>
    </row>
    <row r="26" spans="1:12" ht="15.75" thickBot="1">
      <c r="A26" s="18"/>
      <c r="B26" s="21" t="s">
        <v>34</v>
      </c>
      <c r="C26" s="19"/>
      <c r="D26" s="19"/>
      <c r="E26" s="21" t="s">
        <v>61</v>
      </c>
      <c r="F26" s="19"/>
      <c r="G26" s="19"/>
      <c r="H26" s="20"/>
    </row>
    <row r="28" spans="1:12" ht="15.75" thickBot="1">
      <c r="B28" s="1" t="s">
        <v>50</v>
      </c>
      <c r="E28" t="s">
        <v>64</v>
      </c>
    </row>
    <row r="29" spans="1:12">
      <c r="B29" s="40" t="s">
        <v>39</v>
      </c>
      <c r="C29" s="60" t="s">
        <v>44</v>
      </c>
      <c r="D29" s="92">
        <v>1.5</v>
      </c>
      <c r="E29" t="s">
        <v>70</v>
      </c>
    </row>
    <row r="30" spans="1:12">
      <c r="B30" s="41" t="s">
        <v>11</v>
      </c>
      <c r="C30" s="61" t="s">
        <v>48</v>
      </c>
      <c r="D30" s="59">
        <f>D29/2</f>
        <v>0.75</v>
      </c>
      <c r="E30" t="s">
        <v>65</v>
      </c>
    </row>
    <row r="31" spans="1:12" ht="15.75">
      <c r="B31" s="41" t="s">
        <v>41</v>
      </c>
      <c r="C31" s="61" t="s">
        <v>47</v>
      </c>
      <c r="D31" s="62">
        <f>6*(D29/2)</f>
        <v>4.5</v>
      </c>
      <c r="E31" t="s">
        <v>72</v>
      </c>
    </row>
    <row r="32" spans="1:12" ht="18" thickBot="1">
      <c r="B32" s="42" t="s">
        <v>42</v>
      </c>
      <c r="C32" s="63" t="s">
        <v>49</v>
      </c>
      <c r="D32" s="64">
        <f>((3*SQRT(3))/2)*((D29/2)^2)</f>
        <v>1.4614178688862403</v>
      </c>
      <c r="E32" t="s">
        <v>71</v>
      </c>
    </row>
  </sheetData>
  <sheetProtection password="CF6F" sheet="1" objects="1" scenarios="1" selectLockedCell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5"/>
  <sheetViews>
    <sheetView zoomScaleNormal="100" workbookViewId="0">
      <selection activeCell="D10" sqref="D10"/>
    </sheetView>
  </sheetViews>
  <sheetFormatPr defaultRowHeight="15"/>
  <cols>
    <col min="2" max="2" width="32.5703125" customWidth="1"/>
    <col min="3" max="3" width="17.28515625" customWidth="1"/>
    <col min="4" max="4" width="13.140625" customWidth="1"/>
    <col min="5" max="5" width="37" customWidth="1"/>
    <col min="6" max="6" width="9.5703125" customWidth="1"/>
    <col min="7" max="7" width="9.7109375" customWidth="1"/>
  </cols>
  <sheetData>
    <row r="1" spans="1:8">
      <c r="A1" s="12"/>
      <c r="B1" s="13"/>
      <c r="C1" s="13"/>
      <c r="D1" s="13"/>
      <c r="E1" s="13"/>
      <c r="F1" s="13"/>
      <c r="G1" s="13"/>
      <c r="H1" s="14"/>
    </row>
    <row r="2" spans="1:8" ht="15.75" thickBot="1">
      <c r="A2" s="15"/>
      <c r="B2" s="16"/>
      <c r="C2" s="16"/>
      <c r="D2" s="16"/>
      <c r="E2" s="16"/>
      <c r="F2" s="16"/>
      <c r="G2" s="16"/>
      <c r="H2" s="17"/>
    </row>
    <row r="3" spans="1:8">
      <c r="A3" s="15"/>
      <c r="B3" s="2" t="s">
        <v>5</v>
      </c>
      <c r="C3" s="3" t="s">
        <v>30</v>
      </c>
      <c r="D3" s="3" t="s">
        <v>31</v>
      </c>
      <c r="E3" s="3" t="s">
        <v>7</v>
      </c>
      <c r="F3" s="3" t="s">
        <v>30</v>
      </c>
      <c r="G3" s="4" t="s">
        <v>31</v>
      </c>
      <c r="H3" s="17"/>
    </row>
    <row r="4" spans="1:8" ht="15.75" thickBot="1">
      <c r="A4" s="15"/>
      <c r="B4" s="5"/>
      <c r="C4" s="6"/>
      <c r="D4" s="6"/>
      <c r="E4" s="7" t="s">
        <v>9</v>
      </c>
      <c r="F4" s="6"/>
      <c r="G4" s="8"/>
      <c r="H4" s="17"/>
    </row>
    <row r="5" spans="1:8">
      <c r="A5" s="15"/>
      <c r="B5" s="5" t="s">
        <v>0</v>
      </c>
      <c r="C5" s="71">
        <v>7</v>
      </c>
      <c r="D5" s="72">
        <v>7</v>
      </c>
      <c r="E5" s="6" t="s">
        <v>10</v>
      </c>
      <c r="F5" s="33">
        <f>F6*8</f>
        <v>6.1229349178414356</v>
      </c>
      <c r="G5" s="51">
        <f>G6*8</f>
        <v>6.1229349178414356</v>
      </c>
      <c r="H5" s="17"/>
    </row>
    <row r="6" spans="1:8">
      <c r="A6" s="15"/>
      <c r="B6" s="5" t="s">
        <v>73</v>
      </c>
      <c r="C6" s="73">
        <v>2</v>
      </c>
      <c r="D6" s="74">
        <v>2</v>
      </c>
      <c r="E6" s="6" t="s">
        <v>11</v>
      </c>
      <c r="F6" s="22">
        <f>(C6/2)*SQRT(2-SQRT(2))</f>
        <v>0.76536686473017945</v>
      </c>
      <c r="G6" s="49">
        <f>(D6/2)*SQRT(2-SQRT(2))</f>
        <v>0.76536686473017945</v>
      </c>
      <c r="H6" s="17"/>
    </row>
    <row r="7" spans="1:8" ht="17.25">
      <c r="A7" s="15"/>
      <c r="B7" s="70" t="s">
        <v>74</v>
      </c>
      <c r="C7" s="96">
        <f>F5/PI()</f>
        <v>1.9489907168088652</v>
      </c>
      <c r="D7" s="97">
        <f>G5/PI()</f>
        <v>1.9489907168088652</v>
      </c>
      <c r="E7" s="6" t="s">
        <v>12</v>
      </c>
      <c r="F7" s="22">
        <f>(2*(C6/2)^2)*SQRT(2)</f>
        <v>2.8284271247461903</v>
      </c>
      <c r="G7" s="49">
        <f>(2*(D6/2)^2)*SQRT(2)</f>
        <v>2.8284271247461903</v>
      </c>
      <c r="H7" s="17"/>
    </row>
    <row r="8" spans="1:8" ht="15.75" thickBot="1">
      <c r="A8" s="15"/>
      <c r="B8" s="5" t="s">
        <v>2</v>
      </c>
      <c r="C8" s="73">
        <v>22</v>
      </c>
      <c r="D8" s="74">
        <v>25</v>
      </c>
      <c r="E8" s="6" t="s">
        <v>27</v>
      </c>
      <c r="F8" s="34">
        <f>C6/5*100</f>
        <v>40</v>
      </c>
      <c r="G8" s="50">
        <f>D6/5*100</f>
        <v>40</v>
      </c>
      <c r="H8" s="17"/>
    </row>
    <row r="9" spans="1:8" ht="15.75" thickBot="1">
      <c r="A9" s="15"/>
      <c r="B9" s="5" t="s">
        <v>3</v>
      </c>
      <c r="C9" s="73">
        <v>100</v>
      </c>
      <c r="D9" s="74">
        <v>100</v>
      </c>
      <c r="E9" s="7" t="s">
        <v>13</v>
      </c>
      <c r="F9" s="37"/>
      <c r="G9" s="38"/>
      <c r="H9" s="17"/>
    </row>
    <row r="10" spans="1:8">
      <c r="A10" s="15"/>
      <c r="B10" s="5" t="s">
        <v>79</v>
      </c>
      <c r="C10" s="73">
        <v>2</v>
      </c>
      <c r="D10" s="74">
        <v>2</v>
      </c>
      <c r="E10" s="6" t="s">
        <v>14</v>
      </c>
      <c r="F10" s="84">
        <f>((C7^2)*(C10^2))/(C12+0.45*C7)</f>
        <v>14.107347095648583</v>
      </c>
      <c r="G10" s="83">
        <f>((D7^2)*(D10^2))/(D12+0.45*D7)</f>
        <v>14.107347095648583</v>
      </c>
      <c r="H10" s="17"/>
    </row>
    <row r="11" spans="1:8" ht="15.75" thickBot="1">
      <c r="A11" s="15"/>
      <c r="B11" s="5" t="s">
        <v>66</v>
      </c>
      <c r="C11" s="93">
        <v>10</v>
      </c>
      <c r="D11" s="91">
        <v>10</v>
      </c>
      <c r="E11" s="6" t="s">
        <v>15</v>
      </c>
      <c r="F11" s="53">
        <f>25330/((C5^2)*F10)</f>
        <v>36.643230793524182</v>
      </c>
      <c r="G11" s="77">
        <f>25330/((D5^2)*G10)</f>
        <v>36.643230793524182</v>
      </c>
      <c r="H11" s="17"/>
    </row>
    <row r="12" spans="1:8" ht="18.75" thickBot="1">
      <c r="A12" s="15"/>
      <c r="B12" s="5" t="s">
        <v>76</v>
      </c>
      <c r="C12" s="67">
        <f>(C10*C11)/100</f>
        <v>0.2</v>
      </c>
      <c r="D12" s="69">
        <f>(D10*D11)/100</f>
        <v>0.2</v>
      </c>
      <c r="E12" s="6" t="s">
        <v>16</v>
      </c>
      <c r="F12" s="25">
        <f>2.69*F5</f>
        <v>16.47069492899346</v>
      </c>
      <c r="G12" s="77">
        <f>2.69*G5</f>
        <v>16.47069492899346</v>
      </c>
      <c r="H12" s="17"/>
    </row>
    <row r="13" spans="1:8" ht="18.75" thickBot="1">
      <c r="A13" s="15"/>
      <c r="B13" s="9" t="s">
        <v>6</v>
      </c>
      <c r="C13" s="39" t="s">
        <v>33</v>
      </c>
      <c r="D13" s="39" t="s">
        <v>32</v>
      </c>
      <c r="E13" s="6" t="s">
        <v>17</v>
      </c>
      <c r="F13" s="25">
        <f>F11-F12</f>
        <v>20.172535864530722</v>
      </c>
      <c r="G13" s="77">
        <f>G11-G12</f>
        <v>20.172535864530722</v>
      </c>
      <c r="H13" s="17"/>
    </row>
    <row r="14" spans="1:8" ht="18.75" thickBot="1">
      <c r="A14" s="15"/>
      <c r="B14" s="110" t="s">
        <v>8</v>
      </c>
      <c r="C14" s="30">
        <f>5.8*10^7</f>
        <v>58000000</v>
      </c>
      <c r="D14" s="47">
        <f>3.5*10^7</f>
        <v>35000000</v>
      </c>
      <c r="E14" s="6" t="s">
        <v>18</v>
      </c>
      <c r="F14" s="26">
        <f>10^6/(2*PI()*C5*F11)</f>
        <v>620.48078046975752</v>
      </c>
      <c r="G14" s="78">
        <f>10^6/(2*PI()*D5*G11)</f>
        <v>620.48078046975752</v>
      </c>
      <c r="H14" s="17"/>
    </row>
    <row r="15" spans="1:8" ht="18.75" thickBot="1">
      <c r="A15" s="15"/>
      <c r="B15" s="98" t="s">
        <v>80</v>
      </c>
      <c r="C15" s="6"/>
      <c r="D15" s="6"/>
      <c r="E15" s="6" t="s">
        <v>19</v>
      </c>
      <c r="F15" s="35">
        <f>(31171*C10^2*F7^2)/(300/C5)^4</f>
        <v>0.29567040395061739</v>
      </c>
      <c r="G15" s="79">
        <f>(31171*D10^2*G7^2)/(300/D5)^4</f>
        <v>0.29567040395061739</v>
      </c>
      <c r="H15" s="17"/>
    </row>
    <row r="16" spans="1:8" ht="18">
      <c r="A16" s="15"/>
      <c r="B16" s="99" t="s">
        <v>82</v>
      </c>
      <c r="C16" s="104">
        <f>(300/C5)/8</f>
        <v>5.3571428571428568</v>
      </c>
      <c r="D16" s="6"/>
      <c r="E16" s="6" t="s">
        <v>20</v>
      </c>
      <c r="F16" s="35">
        <f>((C10*F5)/(1.2*(C8/1000)))*SQRT(C5*10^6)*(10^-7)</f>
        <v>0.12272547792759197</v>
      </c>
      <c r="G16" s="79">
        <f>((D10*G5)/(0.935*(D8/1000)))*SQRT(D5*10^6)*(10^-7)</f>
        <v>0.13860759860057445</v>
      </c>
      <c r="H16" s="17"/>
    </row>
    <row r="17" spans="1:8">
      <c r="A17" s="15"/>
      <c r="B17" s="100" t="s">
        <v>81</v>
      </c>
      <c r="C17" s="103">
        <f>F5</f>
        <v>6.1229349178414356</v>
      </c>
      <c r="D17" s="6"/>
      <c r="E17" s="6" t="s">
        <v>21</v>
      </c>
      <c r="F17" s="26">
        <f>(F15/(F15+F16))*100</f>
        <v>70.667618099712541</v>
      </c>
      <c r="G17" s="78">
        <f>(G15/(G15+G16))*100</f>
        <v>68.083209882537005</v>
      </c>
      <c r="H17" s="17"/>
    </row>
    <row r="18" spans="1:8" ht="15.75" thickBot="1">
      <c r="A18" s="15"/>
      <c r="B18" s="99" t="s">
        <v>83</v>
      </c>
      <c r="C18" s="105">
        <f>(300/C5)/4</f>
        <v>10.714285714285714</v>
      </c>
      <c r="D18" s="6"/>
      <c r="E18" s="6" t="s">
        <v>28</v>
      </c>
      <c r="F18" s="27">
        <f>10*LOG(F17/100)</f>
        <v>-1.5077954663043736</v>
      </c>
      <c r="G18" s="80">
        <f>10*LOG(G17/100)</f>
        <v>-1.6695997699205003</v>
      </c>
      <c r="H18" s="17"/>
    </row>
    <row r="19" spans="1:8">
      <c r="A19" s="15"/>
      <c r="B19" s="99" t="s">
        <v>86</v>
      </c>
      <c r="C19" s="6"/>
      <c r="D19" s="106">
        <f>(300/D5)/8</f>
        <v>5.3571428571428568</v>
      </c>
      <c r="E19" s="6" t="s">
        <v>22</v>
      </c>
      <c r="F19" s="26">
        <f>F14/(2*(F15+F16))</f>
        <v>741.49962672239315</v>
      </c>
      <c r="G19" s="78">
        <f>G14/(2*(G15+G16))</f>
        <v>714.38200510353556</v>
      </c>
      <c r="H19" s="17"/>
    </row>
    <row r="20" spans="1:8">
      <c r="A20" s="15"/>
      <c r="B20" s="100" t="s">
        <v>81</v>
      </c>
      <c r="C20" s="6"/>
      <c r="D20" s="102">
        <f>G5</f>
        <v>6.1229349178414356</v>
      </c>
      <c r="E20" s="6" t="s">
        <v>23</v>
      </c>
      <c r="F20" s="26">
        <f>1000*(C5/F19)</f>
        <v>9.4403284205842208</v>
      </c>
      <c r="G20" s="78">
        <f>1000*(D5/G19)</f>
        <v>9.7986790680505571</v>
      </c>
      <c r="H20" s="17"/>
    </row>
    <row r="21" spans="1:8" ht="18.75" thickBot="1">
      <c r="A21" s="15"/>
      <c r="B21" s="99" t="s">
        <v>84</v>
      </c>
      <c r="C21" s="6"/>
      <c r="D21" s="107">
        <f>(300/D5)/4</f>
        <v>10.714285714285714</v>
      </c>
      <c r="E21" s="6" t="s">
        <v>24</v>
      </c>
      <c r="F21" s="26">
        <f>SQRT(C9*F14*F19)</f>
        <v>6782.9659228595892</v>
      </c>
      <c r="G21" s="78">
        <f>SQRT(D9*G14*G19)</f>
        <v>6657.7796905589485</v>
      </c>
      <c r="H21" s="17"/>
    </row>
    <row r="22" spans="1:8" ht="18.75" thickBot="1">
      <c r="A22" s="15"/>
      <c r="B22" s="99" t="s">
        <v>85</v>
      </c>
      <c r="C22" s="6"/>
      <c r="D22" s="6"/>
      <c r="E22" s="6" t="s">
        <v>25</v>
      </c>
      <c r="F22" s="26">
        <f>1.41*F21</f>
        <v>9563.9819512320209</v>
      </c>
      <c r="G22" s="78">
        <f>1.41*G21</f>
        <v>9387.4693636881166</v>
      </c>
      <c r="H22" s="17"/>
    </row>
    <row r="23" spans="1:8">
      <c r="A23" s="15"/>
      <c r="B23" s="99" t="s">
        <v>30</v>
      </c>
      <c r="C23" s="108">
        <f>F21/1000</f>
        <v>6.7829659228595895</v>
      </c>
      <c r="D23" s="6"/>
      <c r="E23" s="6" t="s">
        <v>26</v>
      </c>
      <c r="F23" s="28">
        <f>SQRT((C9*F19)/F14)</f>
        <v>10.931790534630739</v>
      </c>
      <c r="G23" s="81">
        <f>SQRT((D9*G19)/G14)</f>
        <v>10.730033709534782</v>
      </c>
      <c r="H23" s="17"/>
    </row>
    <row r="24" spans="1:8" ht="15.75" thickBot="1">
      <c r="A24" s="15"/>
      <c r="B24" s="101" t="s">
        <v>31</v>
      </c>
      <c r="C24" s="109">
        <f>G21/1000</f>
        <v>6.6577796905589484</v>
      </c>
      <c r="D24" s="10"/>
      <c r="E24" s="11" t="s">
        <v>29</v>
      </c>
      <c r="F24" s="29">
        <f>(0.0661*(1/SQRT(C5)))</f>
        <v>2.4983451665909921E-2</v>
      </c>
      <c r="G24" s="82">
        <f>(0.0851*(1/SQRT(D5)))</f>
        <v>3.2164776653085231E-2</v>
      </c>
      <c r="H24" s="17"/>
    </row>
    <row r="25" spans="1:8">
      <c r="A25" s="15"/>
      <c r="B25" s="16"/>
      <c r="C25" s="16"/>
      <c r="D25" s="16"/>
      <c r="E25" s="44" t="s">
        <v>57</v>
      </c>
      <c r="F25" s="16"/>
      <c r="G25" s="16"/>
      <c r="H25" s="17"/>
    </row>
    <row r="26" spans="1:8" ht="15.75" thickBot="1">
      <c r="A26" s="18"/>
      <c r="B26" s="21" t="s">
        <v>34</v>
      </c>
      <c r="C26" s="19"/>
      <c r="D26" s="19"/>
      <c r="E26" s="21" t="s">
        <v>61</v>
      </c>
      <c r="F26" s="19"/>
      <c r="G26" s="19"/>
      <c r="H26" s="20"/>
    </row>
    <row r="28" spans="1:8" ht="15.75" thickBot="1">
      <c r="B28" s="1" t="s">
        <v>56</v>
      </c>
      <c r="E28" t="s">
        <v>64</v>
      </c>
    </row>
    <row r="29" spans="1:8">
      <c r="B29" s="40" t="s">
        <v>39</v>
      </c>
      <c r="C29" s="60" t="s">
        <v>44</v>
      </c>
      <c r="D29" s="92">
        <v>2</v>
      </c>
      <c r="E29" t="s">
        <v>70</v>
      </c>
    </row>
    <row r="30" spans="1:8" ht="17.25">
      <c r="B30" s="41" t="s">
        <v>11</v>
      </c>
      <c r="C30" s="61" t="s">
        <v>58</v>
      </c>
      <c r="D30" s="65">
        <f>(D29/2)*SQRT(2-SQRT(2))</f>
        <v>0.76536686473017945</v>
      </c>
      <c r="E30" t="s">
        <v>65</v>
      </c>
    </row>
    <row r="31" spans="1:8" ht="17.25">
      <c r="B31" s="41" t="s">
        <v>41</v>
      </c>
      <c r="C31" s="61" t="s">
        <v>59</v>
      </c>
      <c r="D31" s="62">
        <f>D30*8</f>
        <v>6.1229349178414356</v>
      </c>
      <c r="E31" t="s">
        <v>72</v>
      </c>
    </row>
    <row r="32" spans="1:8" ht="18" thickBot="1">
      <c r="B32" s="42" t="s">
        <v>42</v>
      </c>
      <c r="C32" s="63" t="s">
        <v>60</v>
      </c>
      <c r="D32" s="64">
        <f>(2*(D29/2)^2)*SQRT(2)</f>
        <v>2.8284271247461903</v>
      </c>
      <c r="E32" t="s">
        <v>71</v>
      </c>
    </row>
    <row r="35" spans="5:5">
      <c r="E35" s="89"/>
    </row>
  </sheetData>
  <sheetProtection password="CF6F" sheet="1" objects="1" scenarios="1" selectLockedCell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40"/>
  <sheetViews>
    <sheetView zoomScaleNormal="100" workbookViewId="0">
      <selection activeCell="K28" sqref="K28"/>
    </sheetView>
  </sheetViews>
  <sheetFormatPr defaultRowHeight="15"/>
  <cols>
    <col min="2" max="2" width="31.7109375" customWidth="1"/>
    <col min="3" max="3" width="14.140625" customWidth="1"/>
    <col min="4" max="4" width="14.5703125" customWidth="1"/>
    <col min="5" max="5" width="37" customWidth="1"/>
    <col min="6" max="6" width="11.85546875" customWidth="1"/>
    <col min="7" max="7" width="11.5703125" customWidth="1"/>
  </cols>
  <sheetData>
    <row r="1" spans="1:8">
      <c r="A1" s="12"/>
      <c r="B1" s="13"/>
      <c r="C1" s="13"/>
      <c r="D1" s="13"/>
      <c r="E1" s="13"/>
      <c r="F1" s="13"/>
      <c r="G1" s="13"/>
      <c r="H1" s="14"/>
    </row>
    <row r="2" spans="1:8" ht="15.75" thickBot="1">
      <c r="A2" s="15"/>
      <c r="B2" s="16"/>
      <c r="C2" s="16"/>
      <c r="D2" s="16"/>
      <c r="E2" s="16"/>
      <c r="F2" s="16"/>
      <c r="G2" s="16"/>
      <c r="H2" s="17"/>
    </row>
    <row r="3" spans="1:8">
      <c r="A3" s="15"/>
      <c r="B3" s="2" t="s">
        <v>5</v>
      </c>
      <c r="C3" s="3" t="s">
        <v>30</v>
      </c>
      <c r="D3" s="3" t="s">
        <v>31</v>
      </c>
      <c r="E3" s="3" t="s">
        <v>7</v>
      </c>
      <c r="F3" s="3" t="s">
        <v>30</v>
      </c>
      <c r="G3" s="4" t="s">
        <v>31</v>
      </c>
      <c r="H3" s="17"/>
    </row>
    <row r="4" spans="1:8" ht="15.75" thickBot="1">
      <c r="A4" s="15"/>
      <c r="B4" s="5"/>
      <c r="C4" s="6"/>
      <c r="D4" s="6"/>
      <c r="E4" s="7" t="s">
        <v>9</v>
      </c>
      <c r="F4" s="6"/>
      <c r="G4" s="8"/>
      <c r="H4" s="17"/>
    </row>
    <row r="5" spans="1:8">
      <c r="A5" s="15"/>
      <c r="B5" s="5" t="s">
        <v>0</v>
      </c>
      <c r="C5" s="71">
        <v>7</v>
      </c>
      <c r="D5" s="72">
        <v>3.5</v>
      </c>
      <c r="E5" s="6" t="s">
        <v>10</v>
      </c>
      <c r="F5" s="36">
        <f>PI()*C6</f>
        <v>6.2831853071795862</v>
      </c>
      <c r="G5" s="58">
        <f>PI()*D6</f>
        <v>12.566370614359172</v>
      </c>
      <c r="H5" s="17"/>
    </row>
    <row r="6" spans="1:8">
      <c r="A6" s="15"/>
      <c r="B6" s="5" t="s">
        <v>1</v>
      </c>
      <c r="C6" s="73">
        <v>2</v>
      </c>
      <c r="D6" s="74">
        <v>4</v>
      </c>
      <c r="E6" s="6" t="s">
        <v>11</v>
      </c>
      <c r="F6" s="22" t="s">
        <v>37</v>
      </c>
      <c r="G6" s="49" t="s">
        <v>37</v>
      </c>
      <c r="H6" s="17"/>
    </row>
    <row r="7" spans="1:8" ht="17.25">
      <c r="A7" s="15"/>
      <c r="B7" s="5" t="s">
        <v>2</v>
      </c>
      <c r="C7" s="73">
        <v>22</v>
      </c>
      <c r="D7" s="74">
        <v>25</v>
      </c>
      <c r="E7" s="6" t="s">
        <v>12</v>
      </c>
      <c r="F7" s="22">
        <f>(PI()/4)*(C6^2)</f>
        <v>3.1415926535897931</v>
      </c>
      <c r="G7" s="49">
        <f>(PI()/4)*(D6^2)</f>
        <v>12.566370614359172</v>
      </c>
      <c r="H7" s="17"/>
    </row>
    <row r="8" spans="1:8" ht="15.75" thickBot="1">
      <c r="A8" s="15"/>
      <c r="B8" s="5" t="s">
        <v>3</v>
      </c>
      <c r="C8" s="73">
        <v>100</v>
      </c>
      <c r="D8" s="74">
        <v>100</v>
      </c>
      <c r="E8" s="6" t="s">
        <v>27</v>
      </c>
      <c r="F8" s="34">
        <f>C6/5*100</f>
        <v>40</v>
      </c>
      <c r="G8" s="50">
        <f>D6/5*100</f>
        <v>80</v>
      </c>
      <c r="H8" s="17"/>
    </row>
    <row r="9" spans="1:8" ht="15.75" thickBot="1">
      <c r="A9" s="15"/>
      <c r="B9" s="5" t="s">
        <v>79</v>
      </c>
      <c r="C9" s="73">
        <v>2</v>
      </c>
      <c r="D9" s="74">
        <v>2</v>
      </c>
      <c r="E9" s="7" t="s">
        <v>13</v>
      </c>
      <c r="F9" s="37"/>
      <c r="G9" s="38"/>
      <c r="H9" s="17"/>
    </row>
    <row r="10" spans="1:8" ht="15.75" thickBot="1">
      <c r="A10" s="15"/>
      <c r="B10" s="70" t="s">
        <v>75</v>
      </c>
      <c r="C10" s="90">
        <v>10</v>
      </c>
      <c r="D10" s="91">
        <v>10</v>
      </c>
      <c r="E10" s="6" t="s">
        <v>14</v>
      </c>
      <c r="F10" s="23">
        <f>((C6^2)*(C9^2))/(C11/100+0.45*C6)</f>
        <v>14.545454545454545</v>
      </c>
      <c r="G10" s="51">
        <f>((D6^2)*(D9^2))/(D11/100+0.45*D6)</f>
        <v>32</v>
      </c>
      <c r="H10" s="17"/>
    </row>
    <row r="11" spans="1:8" ht="15.75" thickBot="1">
      <c r="A11" s="15"/>
      <c r="B11" s="5" t="s">
        <v>76</v>
      </c>
      <c r="C11" s="85">
        <f>C9*C10</f>
        <v>20</v>
      </c>
      <c r="D11" s="86">
        <f>D9*D10</f>
        <v>20</v>
      </c>
      <c r="E11" s="6" t="s">
        <v>15</v>
      </c>
      <c r="F11" s="24">
        <f>25330/((C5^2)*F10)</f>
        <v>35.539540816326529</v>
      </c>
      <c r="G11" s="52">
        <f>25330/((D5^2)*G10)</f>
        <v>64.617346938775512</v>
      </c>
      <c r="H11" s="17"/>
    </row>
    <row r="12" spans="1:8" ht="18">
      <c r="A12" s="15"/>
      <c r="B12" s="5"/>
      <c r="C12" s="6"/>
      <c r="D12" s="6"/>
      <c r="E12" s="6" t="s">
        <v>16</v>
      </c>
      <c r="F12" s="25">
        <f>2.69*F5</f>
        <v>16.901768476313087</v>
      </c>
      <c r="G12" s="53">
        <f>2.69*G5</f>
        <v>33.803536952626175</v>
      </c>
      <c r="H12" s="17"/>
    </row>
    <row r="13" spans="1:8" ht="18.75" thickBot="1">
      <c r="A13" s="15"/>
      <c r="B13" s="9" t="s">
        <v>6</v>
      </c>
      <c r="C13" s="39" t="s">
        <v>33</v>
      </c>
      <c r="D13" s="39" t="s">
        <v>32</v>
      </c>
      <c r="E13" s="6" t="s">
        <v>17</v>
      </c>
      <c r="F13" s="25">
        <f>F11-F12</f>
        <v>18.637772340013441</v>
      </c>
      <c r="G13" s="53">
        <f>G11-G12</f>
        <v>30.813809986149337</v>
      </c>
      <c r="H13" s="17"/>
    </row>
    <row r="14" spans="1:8" ht="18.75" thickBot="1">
      <c r="A14" s="15"/>
      <c r="B14" s="110" t="s">
        <v>8</v>
      </c>
      <c r="C14" s="30">
        <f>5.8*10^7</f>
        <v>58000000</v>
      </c>
      <c r="D14" s="47">
        <f>3.5*10^7</f>
        <v>35000000</v>
      </c>
      <c r="E14" s="6" t="s">
        <v>18</v>
      </c>
      <c r="F14" s="26">
        <f>10^6/(2*PI()*C5*F11)</f>
        <v>639.74997761519865</v>
      </c>
      <c r="G14" s="54">
        <f>10^6/(2*PI()*D5*G11)</f>
        <v>703.72497537671848</v>
      </c>
      <c r="H14" s="17"/>
    </row>
    <row r="15" spans="1:8" ht="18.75" thickBot="1">
      <c r="A15" s="15"/>
      <c r="B15" s="98" t="s">
        <v>80</v>
      </c>
      <c r="C15" s="6"/>
      <c r="D15" s="6"/>
      <c r="E15" s="6" t="s">
        <v>19</v>
      </c>
      <c r="F15" s="35">
        <f>(31171*C9^2*F7^2)/(300/C5)^4</f>
        <v>0.36476874001286014</v>
      </c>
      <c r="G15" s="49">
        <f>(31171*D9^2*G7^2)/(300/D5)^4</f>
        <v>0.36476874001286014</v>
      </c>
      <c r="H15" s="17"/>
    </row>
    <row r="16" spans="1:8" ht="18">
      <c r="A16" s="15"/>
      <c r="B16" s="99" t="s">
        <v>82</v>
      </c>
      <c r="C16" s="104">
        <f>(300/C5)/8</f>
        <v>5.3571428571428568</v>
      </c>
      <c r="D16" s="6"/>
      <c r="E16" s="6" t="s">
        <v>20</v>
      </c>
      <c r="F16" s="35">
        <f>((C9*F5)/(1.2*(C7/1000)))*SQRT(C5*10^6)*(10^-7)</f>
        <v>0.12593746791009217</v>
      </c>
      <c r="G16" s="49">
        <f>((D9*G5)/(0.935*(D7/1000)))*SQRT(D5*10^6)*(10^-7)</f>
        <v>0.20115103073435714</v>
      </c>
      <c r="H16" s="17"/>
    </row>
    <row r="17" spans="1:17">
      <c r="A17" s="15"/>
      <c r="B17" s="100" t="s">
        <v>81</v>
      </c>
      <c r="C17" s="103">
        <f>F5</f>
        <v>6.2831853071795862</v>
      </c>
      <c r="D17" s="6"/>
      <c r="E17" s="6" t="s">
        <v>21</v>
      </c>
      <c r="F17" s="26">
        <f>(F15/(F15+F16))*100</f>
        <v>74.335464708474603</v>
      </c>
      <c r="G17" s="54">
        <f>(G15/(G15+G16))*100</f>
        <v>64.455910337119775</v>
      </c>
      <c r="H17" s="17"/>
    </row>
    <row r="18" spans="1:17" ht="15.75" thickBot="1">
      <c r="A18" s="15"/>
      <c r="B18" s="99" t="s">
        <v>83</v>
      </c>
      <c r="C18" s="105">
        <f>(300/C5)/4</f>
        <v>10.714285714285714</v>
      </c>
      <c r="D18" s="6"/>
      <c r="E18" s="6" t="s">
        <v>28</v>
      </c>
      <c r="F18" s="27">
        <f>10*LOG(F17/100)</f>
        <v>-1.2880393923393616</v>
      </c>
      <c r="G18" s="55">
        <f>10*LOG(G17/100)</f>
        <v>-1.9073725349894013</v>
      </c>
      <c r="H18" s="17"/>
    </row>
    <row r="19" spans="1:17">
      <c r="A19" s="15"/>
      <c r="B19" s="99" t="s">
        <v>86</v>
      </c>
      <c r="C19" s="6"/>
      <c r="D19" s="106">
        <f>(300/D5)/8</f>
        <v>10.714285714285714</v>
      </c>
      <c r="E19" s="6" t="s">
        <v>22</v>
      </c>
      <c r="F19" s="26">
        <f>F14/(2*(F15+F16))</f>
        <v>651.86660295486661</v>
      </c>
      <c r="G19" s="54">
        <f>G14/(2*(G15+G16))</f>
        <v>621.75330475515011</v>
      </c>
      <c r="H19" s="17"/>
    </row>
    <row r="20" spans="1:17">
      <c r="A20" s="15"/>
      <c r="B20" s="100" t="s">
        <v>81</v>
      </c>
      <c r="C20" s="6"/>
      <c r="D20" s="102">
        <f>G5</f>
        <v>12.566370614359172</v>
      </c>
      <c r="E20" s="6" t="s">
        <v>23</v>
      </c>
      <c r="F20" s="26">
        <f>1000*(C5/F19)</f>
        <v>10.738393358809118</v>
      </c>
      <c r="G20" s="54">
        <f>1000*(D5/G19)</f>
        <v>5.62924229470452</v>
      </c>
      <c r="H20" s="17"/>
    </row>
    <row r="21" spans="1:17" ht="18.75" thickBot="1">
      <c r="A21" s="15"/>
      <c r="B21" s="99" t="s">
        <v>84</v>
      </c>
      <c r="C21" s="6"/>
      <c r="D21" s="107">
        <f>(300/D5)/4</f>
        <v>21.428571428571427</v>
      </c>
      <c r="E21" s="6" t="s">
        <v>24</v>
      </c>
      <c r="F21" s="26">
        <f>SQRT(C8*F14*F19)</f>
        <v>6457.7987321414057</v>
      </c>
      <c r="G21" s="54">
        <f>SQRT(D8*G14*G19)</f>
        <v>6614.7058066040345</v>
      </c>
      <c r="H21" s="17"/>
    </row>
    <row r="22" spans="1:17" ht="18.75" thickBot="1">
      <c r="A22" s="15"/>
      <c r="B22" s="99" t="s">
        <v>85</v>
      </c>
      <c r="C22" s="6"/>
      <c r="D22" s="6"/>
      <c r="E22" s="6" t="s">
        <v>25</v>
      </c>
      <c r="F22" s="26">
        <f>1.41*F21</f>
        <v>9105.4962123193818</v>
      </c>
      <c r="G22" s="54">
        <f>1.41*G21</f>
        <v>9326.7351873116877</v>
      </c>
      <c r="H22" s="17"/>
    </row>
    <row r="23" spans="1:17">
      <c r="A23" s="15"/>
      <c r="B23" s="99" t="s">
        <v>30</v>
      </c>
      <c r="C23" s="108">
        <f>F21/1000</f>
        <v>6.4577987321414057</v>
      </c>
      <c r="D23" s="6"/>
      <c r="E23" s="6" t="s">
        <v>26</v>
      </c>
      <c r="F23" s="28">
        <f>SQRT((C8*F19)/F14)</f>
        <v>10.09425393997542</v>
      </c>
      <c r="G23" s="56">
        <f>SQRT((D8*G19)/G14)</f>
        <v>9.3995609620975102</v>
      </c>
      <c r="H23" s="17"/>
    </row>
    <row r="24" spans="1:17" ht="15.75" thickBot="1">
      <c r="A24" s="15"/>
      <c r="B24" s="101" t="s">
        <v>31</v>
      </c>
      <c r="C24" s="109">
        <f>G21/1000</f>
        <v>6.6147058066040341</v>
      </c>
      <c r="D24" s="10"/>
      <c r="E24" s="11" t="s">
        <v>29</v>
      </c>
      <c r="F24" s="29">
        <f>(0.0661*(1/SQRT(C5)))</f>
        <v>2.4983451665909921E-2</v>
      </c>
      <c r="G24" s="57">
        <f>(0.0851*(1/SQRT(D5)))</f>
        <v>4.5487863373494627E-2</v>
      </c>
      <c r="H24" s="17"/>
    </row>
    <row r="25" spans="1:17">
      <c r="A25" s="15"/>
      <c r="B25" s="16"/>
      <c r="C25" s="16"/>
      <c r="D25" s="16"/>
      <c r="E25" s="44" t="s">
        <v>62</v>
      </c>
      <c r="F25" s="16"/>
      <c r="G25" s="16"/>
      <c r="H25" s="17"/>
    </row>
    <row r="26" spans="1:17" ht="15.75" thickBot="1">
      <c r="A26" s="18"/>
      <c r="B26" s="21" t="s">
        <v>34</v>
      </c>
      <c r="C26" s="19"/>
      <c r="D26" s="19"/>
      <c r="E26" s="21" t="s">
        <v>61</v>
      </c>
      <c r="F26" s="19"/>
      <c r="G26" s="19"/>
      <c r="H26" s="20"/>
    </row>
    <row r="28" spans="1:17" ht="15.75" thickBot="1">
      <c r="B28" s="1" t="s">
        <v>38</v>
      </c>
      <c r="E28" t="s">
        <v>64</v>
      </c>
      <c r="K28" s="89"/>
      <c r="Q28" s="89"/>
    </row>
    <row r="29" spans="1:17">
      <c r="B29" s="40" t="s">
        <v>39</v>
      </c>
      <c r="C29" s="60" t="s">
        <v>44</v>
      </c>
      <c r="D29" s="92">
        <v>4</v>
      </c>
      <c r="E29" t="s">
        <v>70</v>
      </c>
    </row>
    <row r="30" spans="1:17">
      <c r="B30" s="41" t="s">
        <v>40</v>
      </c>
      <c r="C30" s="61" t="s">
        <v>43</v>
      </c>
      <c r="D30" s="59">
        <f>D29/2</f>
        <v>2</v>
      </c>
      <c r="E30" t="s">
        <v>65</v>
      </c>
    </row>
    <row r="31" spans="1:17" ht="15.75">
      <c r="B31" s="41" t="s">
        <v>41</v>
      </c>
      <c r="C31" s="61" t="s">
        <v>45</v>
      </c>
      <c r="D31" s="62">
        <f>PI()*D29</f>
        <v>12.566370614359172</v>
      </c>
      <c r="E31" t="s">
        <v>72</v>
      </c>
    </row>
    <row r="32" spans="1:17" ht="18.75" thickBot="1">
      <c r="B32" s="42" t="s">
        <v>42</v>
      </c>
      <c r="C32" s="63" t="s">
        <v>46</v>
      </c>
      <c r="D32" s="64">
        <f>(PI()*D29^2)/4</f>
        <v>12.566370614359172</v>
      </c>
      <c r="E32" t="s">
        <v>71</v>
      </c>
    </row>
    <row r="40" spans="12:12">
      <c r="L40" s="89"/>
    </row>
  </sheetData>
  <sheetProtection password="CF6F" sheet="1" objects="1" scenarios="1" selectLockedCell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Scheme</vt:lpstr>
      <vt:lpstr>Antena patrata</vt:lpstr>
      <vt:lpstr>Antena hexagonala</vt:lpstr>
      <vt:lpstr>Antena octogonala</vt:lpstr>
      <vt:lpstr>Antena circulara</vt:lpstr>
      <vt:lpstr>Multispire hexagon</vt:lpstr>
      <vt:lpstr>Multispire octogon</vt:lpstr>
      <vt:lpstr>Multispire cerc</vt:lpstr>
      <vt:lpstr>'Multispire cerc'!Print_Area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Cristian</cp:lastModifiedBy>
  <cp:lastPrinted>2013-11-23T08:43:37Z</cp:lastPrinted>
  <dcterms:created xsi:type="dcterms:W3CDTF">2013-11-13T09:18:39Z</dcterms:created>
  <dcterms:modified xsi:type="dcterms:W3CDTF">2014-01-30T19:13:27Z</dcterms:modified>
</cp:coreProperties>
</file>