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28860" windowHeight="6375"/>
  </bookViews>
  <sheets>
    <sheet name="Antena circulara" sheetId="4" r:id="rId1"/>
  </sheets>
  <calcPr calcId="125725"/>
</workbook>
</file>

<file path=xl/calcChain.xml><?xml version="1.0" encoding="utf-8"?>
<calcChain xmlns="http://schemas.openxmlformats.org/spreadsheetml/2006/main">
  <c r="H9" i="4"/>
  <c r="H8"/>
  <c r="J23" s="1"/>
  <c r="H5"/>
  <c r="H6" s="1"/>
  <c r="H21" s="1"/>
  <c r="K23" l="1"/>
  <c r="L23"/>
  <c r="J6"/>
  <c r="J8"/>
  <c r="J10"/>
  <c r="J12"/>
  <c r="J14"/>
  <c r="J16"/>
  <c r="J18"/>
  <c r="J20"/>
  <c r="J22"/>
  <c r="J24"/>
  <c r="J7"/>
  <c r="J9"/>
  <c r="J11"/>
  <c r="J13"/>
  <c r="J15"/>
  <c r="J17"/>
  <c r="J19"/>
  <c r="J21"/>
  <c r="H7"/>
  <c r="H13"/>
  <c r="H14" s="1"/>
  <c r="K19" l="1"/>
  <c r="L19"/>
  <c r="K15"/>
  <c r="L15"/>
  <c r="K11"/>
  <c r="L11"/>
  <c r="K7"/>
  <c r="L7"/>
  <c r="L22"/>
  <c r="K22"/>
  <c r="L18"/>
  <c r="K18"/>
  <c r="L14"/>
  <c r="K14"/>
  <c r="L10"/>
  <c r="K10"/>
  <c r="K6"/>
  <c r="L6"/>
  <c r="K21"/>
  <c r="L21"/>
  <c r="K17"/>
  <c r="L17"/>
  <c r="K13"/>
  <c r="L13"/>
  <c r="K9"/>
  <c r="L9"/>
  <c r="L24"/>
  <c r="K24"/>
  <c r="L20"/>
  <c r="K20"/>
  <c r="L16"/>
  <c r="K16"/>
  <c r="L12"/>
  <c r="K12"/>
  <c r="L8"/>
  <c r="K8"/>
  <c r="C18" l="1"/>
  <c r="C16"/>
  <c r="E10" l="1"/>
  <c r="E11" s="1"/>
  <c r="E7"/>
  <c r="E5"/>
  <c r="E24"/>
  <c r="C13"/>
  <c r="E8"/>
  <c r="E16" l="1"/>
  <c r="C17"/>
  <c r="E14"/>
  <c r="E15"/>
  <c r="E12"/>
  <c r="E13" s="1"/>
  <c r="E17" l="1"/>
  <c r="E19"/>
  <c r="E21" s="1"/>
  <c r="E18" l="1"/>
  <c r="H10"/>
  <c r="E22"/>
  <c r="C23"/>
  <c r="E23"/>
  <c r="H11" s="1"/>
  <c r="E20"/>
  <c r="H16" l="1"/>
  <c r="H22" s="1"/>
  <c r="H12"/>
  <c r="H15"/>
  <c r="N6" l="1"/>
  <c r="N21"/>
  <c r="N17"/>
  <c r="N13"/>
  <c r="N9"/>
  <c r="N24"/>
  <c r="N20"/>
  <c r="N16"/>
  <c r="N12"/>
  <c r="N8"/>
  <c r="N23"/>
  <c r="N19"/>
  <c r="N15"/>
  <c r="N11"/>
  <c r="N7"/>
  <c r="N22"/>
  <c r="N18"/>
  <c r="N14"/>
  <c r="N10"/>
  <c r="H17"/>
  <c r="H23" s="1"/>
  <c r="H18"/>
  <c r="H24" s="1"/>
  <c r="H19" l="1"/>
  <c r="M22" l="1"/>
  <c r="O22" s="1"/>
  <c r="M18"/>
  <c r="O18" s="1"/>
  <c r="M14"/>
  <c r="O14" s="1"/>
  <c r="M10"/>
  <c r="O10" s="1"/>
  <c r="M6"/>
  <c r="O6" s="1"/>
  <c r="M21"/>
  <c r="O21" s="1"/>
  <c r="M17"/>
  <c r="O17" s="1"/>
  <c r="M13"/>
  <c r="O13" s="1"/>
  <c r="M9"/>
  <c r="O9" s="1"/>
  <c r="M24"/>
  <c r="O24" s="1"/>
  <c r="M20"/>
  <c r="O20" s="1"/>
  <c r="M16"/>
  <c r="O16" s="1"/>
  <c r="M12"/>
  <c r="O12" s="1"/>
  <c r="M8"/>
  <c r="O8" s="1"/>
  <c r="M23"/>
  <c r="O23" s="1"/>
  <c r="M19"/>
  <c r="O19" s="1"/>
  <c r="M15"/>
  <c r="O15" s="1"/>
  <c r="M11"/>
  <c r="O11" s="1"/>
  <c r="M7"/>
  <c r="O7" s="1"/>
</calcChain>
</file>

<file path=xl/sharedStrings.xml><?xml version="1.0" encoding="utf-8"?>
<sst xmlns="http://schemas.openxmlformats.org/spreadsheetml/2006/main" count="93" uniqueCount="84">
  <si>
    <t>Frecventa F [MHz]</t>
  </si>
  <si>
    <t>Diametrul antenei D [m,cm]</t>
  </si>
  <si>
    <t>Diametrul conductor d [mm]</t>
  </si>
  <si>
    <t>Puterea P [watt]</t>
  </si>
  <si>
    <t>Numarul de spire N [nr]</t>
  </si>
  <si>
    <t>Date de intrare</t>
  </si>
  <si>
    <t>Constante de material</t>
  </si>
  <si>
    <t>Date calculate</t>
  </si>
  <si>
    <t>Conductivitatea [S/m]</t>
  </si>
  <si>
    <t>Date dimensionale</t>
  </si>
  <si>
    <t>Perimetrul antenei p [m]</t>
  </si>
  <si>
    <t>Latura poligonului a [m]</t>
  </si>
  <si>
    <r>
      <t>Aria antenei A [m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]</t>
    </r>
  </si>
  <si>
    <t>Date functionale</t>
  </si>
  <si>
    <r>
      <t>Inductanta L [</t>
    </r>
    <r>
      <rPr>
        <sz val="11"/>
        <color theme="1"/>
        <rFont val="Calibri"/>
        <family val="2"/>
      </rPr>
      <t>μH]</t>
    </r>
  </si>
  <si>
    <t>Capacitatea la rezonanta C [pF]</t>
  </si>
  <si>
    <r>
      <t>Capacitatea distribuita C</t>
    </r>
    <r>
      <rPr>
        <vertAlign val="subscript"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 [pF]</t>
    </r>
  </si>
  <si>
    <r>
      <t>Capacitatea de acord C</t>
    </r>
    <r>
      <rPr>
        <vertAlign val="subscript"/>
        <sz val="11"/>
        <color theme="1"/>
        <rFont val="Calibri"/>
        <family val="2"/>
        <scheme val="minor"/>
      </rPr>
      <t xml:space="preserve">a </t>
    </r>
    <r>
      <rPr>
        <sz val="11"/>
        <color theme="1"/>
        <rFont val="Calibri"/>
        <family val="2"/>
        <scheme val="minor"/>
      </rPr>
      <t>[pF]</t>
    </r>
  </si>
  <si>
    <r>
      <t>Reactanta la rezonanta X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>=X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 [</t>
    </r>
    <r>
      <rPr>
        <sz val="11"/>
        <color theme="1"/>
        <rFont val="Calibri"/>
        <family val="2"/>
      </rPr>
      <t>Ω]</t>
    </r>
  </si>
  <si>
    <r>
      <t>Rezistenta de radiatie R</t>
    </r>
    <r>
      <rPr>
        <vertAlign val="sub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 xml:space="preserve"> [</t>
    </r>
    <r>
      <rPr>
        <sz val="11"/>
        <color theme="1"/>
        <rFont val="Calibri"/>
        <family val="2"/>
      </rPr>
      <t>Ω]</t>
    </r>
  </si>
  <si>
    <r>
      <t>Rezistenta de pierderi R</t>
    </r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 xml:space="preserve"> [</t>
    </r>
    <r>
      <rPr>
        <sz val="11"/>
        <color theme="1"/>
        <rFont val="Calibri"/>
        <family val="2"/>
      </rPr>
      <t>Ω]</t>
    </r>
  </si>
  <si>
    <r>
      <t xml:space="preserve">Randamentul / Eficienta </t>
    </r>
    <r>
      <rPr>
        <sz val="11"/>
        <color theme="1"/>
        <rFont val="Calibri"/>
        <family val="2"/>
      </rPr>
      <t>η [%]</t>
    </r>
  </si>
  <si>
    <t>Factorul de calitate Q</t>
  </si>
  <si>
    <t>Largime de banda BW [kHz]</t>
  </si>
  <si>
    <r>
      <t>Tensiunea eficace U</t>
    </r>
    <r>
      <rPr>
        <vertAlign val="subscript"/>
        <sz val="11"/>
        <color theme="1"/>
        <rFont val="Calibri"/>
        <family val="2"/>
        <scheme val="minor"/>
      </rPr>
      <t>ef</t>
    </r>
    <r>
      <rPr>
        <sz val="11"/>
        <color theme="1"/>
        <rFont val="Calibri"/>
        <family val="2"/>
        <scheme val="minor"/>
      </rPr>
      <t xml:space="preserve"> [V]</t>
    </r>
  </si>
  <si>
    <r>
      <t>Tensiunea varf la varf U</t>
    </r>
    <r>
      <rPr>
        <vertAlign val="subscript"/>
        <sz val="11"/>
        <color theme="1"/>
        <rFont val="Calibri"/>
        <family val="2"/>
        <scheme val="minor"/>
      </rPr>
      <t>vv</t>
    </r>
    <r>
      <rPr>
        <sz val="11"/>
        <color theme="1"/>
        <rFont val="Calibri"/>
        <family val="2"/>
        <scheme val="minor"/>
      </rPr>
      <t xml:space="preserve"> [V]</t>
    </r>
  </si>
  <si>
    <t>Curentul in antena la rezonanta I [A]</t>
  </si>
  <si>
    <t>Bucla de alimentare - Link 1/5.D [cm]</t>
  </si>
  <si>
    <t>Comparat cu bucla ideala K [dB]</t>
  </si>
  <si>
    <r>
      <t xml:space="preserve">Adancimea efectului pelicular </t>
    </r>
    <r>
      <rPr>
        <sz val="11"/>
        <color theme="1"/>
        <rFont val="Calibri"/>
        <family val="2"/>
      </rPr>
      <t>δ [mm]</t>
    </r>
  </si>
  <si>
    <t>Cupru</t>
  </si>
  <si>
    <t>Cu =5,8*10^7</t>
  </si>
  <si>
    <t>Nu</t>
  </si>
  <si>
    <t>Antena magnetica circulara</t>
  </si>
  <si>
    <t>Incadrarea in dimensiuni</t>
  </si>
  <si>
    <t>λ/8 &lt; p real &lt; λ/4</t>
  </si>
  <si>
    <r>
      <t>Cupru p=</t>
    </r>
    <r>
      <rPr>
        <b/>
        <sz val="11"/>
        <rFont val="Calibri"/>
        <family val="2"/>
      </rPr>
      <t>λ/8</t>
    </r>
  </si>
  <si>
    <r>
      <t>p=</t>
    </r>
    <r>
      <rPr>
        <b/>
        <sz val="11"/>
        <rFont val="Calibri"/>
        <family val="2"/>
      </rPr>
      <t>λ/4</t>
    </r>
  </si>
  <si>
    <t>CV distanta rotor / stator [mm]</t>
  </si>
  <si>
    <t>YO4UQ 2014</t>
  </si>
  <si>
    <t>Calculul campurilor E si H</t>
  </si>
  <si>
    <t>Rcrea [m]</t>
  </si>
  <si>
    <t>Rcrad [m]</t>
  </si>
  <si>
    <t>Ptx [W]</t>
  </si>
  <si>
    <t>Prad {W]</t>
  </si>
  <si>
    <t>Hmax [A/m]</t>
  </si>
  <si>
    <t>Rcrea^3 [m^3]</t>
  </si>
  <si>
    <t>Hcrea [A/m]</t>
  </si>
  <si>
    <t>Hcrad [A/m]</t>
  </si>
  <si>
    <t>Ecrad [V/m]</t>
  </si>
  <si>
    <t>Emax [V/m]</t>
  </si>
  <si>
    <t>Campul reactiv apropiat [m]</t>
  </si>
  <si>
    <t>Raza de egalizare [m]</t>
  </si>
  <si>
    <t>H la raza de egalizare [A/m]</t>
  </si>
  <si>
    <t>E la raza de egalizare [V/m]</t>
  </si>
  <si>
    <t>Curentul spira I [A]</t>
  </si>
  <si>
    <r>
      <t xml:space="preserve">Nota : Verificati incadrarea antenei in dimensiunile optime pentru antena magnetica </t>
    </r>
    <r>
      <rPr>
        <b/>
        <sz val="11"/>
        <color theme="1"/>
        <rFont val="Calibri"/>
        <family val="2"/>
      </rPr>
      <t>λ/8 &lt; p &lt; λ/4</t>
    </r>
  </si>
  <si>
    <t>PRIMUL LUCRU</t>
  </si>
  <si>
    <t>D/2 + R</t>
  </si>
  <si>
    <t>(D/2+R)^2</t>
  </si>
  <si>
    <t>(D/2+R)^3</t>
  </si>
  <si>
    <t>Raza pt Hcrea=Hcrad</t>
  </si>
  <si>
    <t>Raza spirei D/2 [m]</t>
  </si>
  <si>
    <t>Rcrea = Raza campului reactiv apropiat</t>
  </si>
  <si>
    <t>Rcrad = Lungimea campului radiant apropiat</t>
  </si>
  <si>
    <r>
      <t>Lungimea de unda λ</t>
    </r>
    <r>
      <rPr>
        <sz val="8.8000000000000007"/>
        <color theme="1"/>
        <rFont val="Calibri"/>
        <family val="2"/>
        <charset val="238"/>
      </rPr>
      <t xml:space="preserve"> [m]</t>
    </r>
  </si>
  <si>
    <t>R = distanta de la margine spirei</t>
  </si>
  <si>
    <t>D/2+R = Distanta de la centrul spirei</t>
  </si>
  <si>
    <t>E [V/m]</t>
  </si>
  <si>
    <t>H [A/m]</t>
  </si>
  <si>
    <t>S [W/mp]</t>
  </si>
  <si>
    <t>Frecvenţa</t>
  </si>
  <si>
    <t>Romania</t>
  </si>
  <si>
    <t>Europa</t>
  </si>
  <si>
    <t>USA</t>
  </si>
  <si>
    <t>Canada</t>
  </si>
  <si>
    <t xml:space="preserve">     Valorile limita pentru câmpul electric E [V/m]</t>
  </si>
  <si>
    <t xml:space="preserve">     Valorile limita  pentru câmpul magnetic H [A/m]</t>
  </si>
  <si>
    <t xml:space="preserve">    Valori E si H maxime in camp reactiv</t>
  </si>
  <si>
    <t xml:space="preserve">   Atenuarea valorilor E, H si S cu distanta R de la margine spirei</t>
  </si>
  <si>
    <t xml:space="preserve">        Valori limita admisibile E si H cfm norme</t>
  </si>
  <si>
    <t xml:space="preserve">                          Tabel 1</t>
  </si>
  <si>
    <t>Tabel 2</t>
  </si>
  <si>
    <t>Tabel 3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</si>
</sst>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2"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8.8000000000000007"/>
      <color theme="1"/>
      <name val="Calibri"/>
      <family val="2"/>
      <charset val="238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D5FDB9"/>
        <bgColor indexed="64"/>
      </patternFill>
    </fill>
    <fill>
      <patternFill patternType="solid">
        <fgColor rgb="FFBBFBB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94">
    <xf numFmtId="0" fontId="0" fillId="0" borderId="0" xfId="0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0" fillId="0" borderId="10" xfId="0" applyBorder="1"/>
    <xf numFmtId="0" fontId="0" fillId="0" borderId="0" xfId="0" applyBorder="1"/>
    <xf numFmtId="0" fontId="2" fillId="0" borderId="0" xfId="0" applyFont="1" applyBorder="1"/>
    <xf numFmtId="0" fontId="0" fillId="0" borderId="11" xfId="0" applyBorder="1"/>
    <xf numFmtId="0" fontId="2" fillId="0" borderId="10" xfId="0" applyFont="1" applyBorder="1"/>
    <xf numFmtId="0" fontId="0" fillId="0" borderId="13" xfId="0" applyBorder="1"/>
    <xf numFmtId="0" fontId="1" fillId="2" borderId="7" xfId="1" applyBorder="1"/>
    <xf numFmtId="0" fontId="1" fillId="2" borderId="8" xfId="1" applyBorder="1"/>
    <xf numFmtId="0" fontId="1" fillId="2" borderId="9" xfId="1" applyBorder="1"/>
    <xf numFmtId="0" fontId="1" fillId="2" borderId="10" xfId="1" applyBorder="1"/>
    <xf numFmtId="0" fontId="1" fillId="2" borderId="0" xfId="1" applyBorder="1"/>
    <xf numFmtId="0" fontId="1" fillId="2" borderId="11" xfId="1" applyBorder="1"/>
    <xf numFmtId="0" fontId="1" fillId="2" borderId="12" xfId="1" applyBorder="1"/>
    <xf numFmtId="0" fontId="1" fillId="2" borderId="13" xfId="1" applyBorder="1"/>
    <xf numFmtId="0" fontId="1" fillId="2" borderId="14" xfId="1" applyBorder="1"/>
    <xf numFmtId="0" fontId="8" fillId="2" borderId="13" xfId="1" applyFont="1" applyBorder="1" applyAlignment="1">
      <alignment horizontal="center"/>
    </xf>
    <xf numFmtId="164" fontId="0" fillId="4" borderId="2" xfId="0" applyNumberFormat="1" applyFill="1" applyBorder="1" applyProtection="1"/>
    <xf numFmtId="165" fontId="0" fillId="3" borderId="4" xfId="0" applyNumberFormat="1" applyFill="1" applyBorder="1" applyProtection="1"/>
    <xf numFmtId="165" fontId="0" fillId="3" borderId="2" xfId="0" applyNumberFormat="1" applyFill="1" applyBorder="1" applyProtection="1"/>
    <xf numFmtId="1" fontId="0" fillId="3" borderId="2" xfId="0" applyNumberFormat="1" applyFill="1" applyBorder="1" applyProtection="1"/>
    <xf numFmtId="2" fontId="0" fillId="3" borderId="2" xfId="0" applyNumberFormat="1" applyFill="1" applyBorder="1" applyProtection="1"/>
    <xf numFmtId="1" fontId="0" fillId="3" borderId="5" xfId="0" applyNumberFormat="1" applyFill="1" applyBorder="1" applyProtection="1"/>
    <xf numFmtId="164" fontId="0" fillId="3" borderId="3" xfId="0" applyNumberFormat="1" applyFill="1" applyBorder="1" applyProtection="1"/>
    <xf numFmtId="0" fontId="7" fillId="4" borderId="6" xfId="0" applyFont="1" applyFill="1" applyBorder="1" applyProtection="1"/>
    <xf numFmtId="1" fontId="0" fillId="4" borderId="3" xfId="0" applyNumberFormat="1" applyFill="1" applyBorder="1" applyProtection="1"/>
    <xf numFmtId="164" fontId="0" fillId="3" borderId="2" xfId="0" applyNumberFormat="1" applyFill="1" applyBorder="1" applyProtection="1"/>
    <xf numFmtId="164" fontId="0" fillId="4" borderId="1" xfId="0" applyNumberFormat="1" applyFill="1" applyBorder="1" applyProtection="1"/>
    <xf numFmtId="0" fontId="0" fillId="0" borderId="11" xfId="0" applyBorder="1" applyProtection="1"/>
    <xf numFmtId="0" fontId="2" fillId="0" borderId="0" xfId="0" applyFont="1" applyBorder="1" applyProtection="1"/>
    <xf numFmtId="0" fontId="8" fillId="2" borderId="0" xfId="1" applyFont="1" applyBorder="1" applyAlignment="1">
      <alignment horizontal="center"/>
    </xf>
    <xf numFmtId="164" fontId="0" fillId="3" borderId="1" xfId="0" applyNumberFormat="1" applyFill="1" applyBorder="1" applyProtection="1"/>
    <xf numFmtId="0" fontId="2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12" xfId="1" applyFont="1" applyFill="1" applyBorder="1" applyAlignment="1">
      <alignment horizontal="center"/>
    </xf>
    <xf numFmtId="164" fontId="2" fillId="3" borderId="2" xfId="0" applyNumberFormat="1" applyFont="1" applyFill="1" applyBorder="1"/>
    <xf numFmtId="164" fontId="5" fillId="3" borderId="1" xfId="0" applyNumberFormat="1" applyFont="1" applyFill="1" applyBorder="1"/>
    <xf numFmtId="164" fontId="5" fillId="3" borderId="3" xfId="0" applyNumberFormat="1" applyFont="1" applyFill="1" applyBorder="1"/>
    <xf numFmtId="0" fontId="7" fillId="4" borderId="1" xfId="0" applyFont="1" applyFill="1" applyBorder="1" applyProtection="1">
      <protection locked="0"/>
    </xf>
    <xf numFmtId="0" fontId="7" fillId="4" borderId="2" xfId="0" applyFont="1" applyFill="1" applyBorder="1" applyProtection="1">
      <protection locked="0"/>
    </xf>
    <xf numFmtId="0" fontId="7" fillId="4" borderId="3" xfId="0" applyFont="1" applyFill="1" applyBorder="1" applyProtection="1"/>
    <xf numFmtId="165" fontId="8" fillId="3" borderId="6" xfId="0" applyNumberFormat="1" applyFont="1" applyFill="1" applyBorder="1"/>
    <xf numFmtId="0" fontId="3" fillId="0" borderId="16" xfId="0" applyFont="1" applyBorder="1"/>
    <xf numFmtId="0" fontId="0" fillId="0" borderId="18" xfId="0" applyBorder="1"/>
    <xf numFmtId="1" fontId="0" fillId="0" borderId="19" xfId="0" applyNumberFormat="1" applyBorder="1"/>
    <xf numFmtId="0" fontId="2" fillId="0" borderId="0" xfId="0" applyFont="1"/>
    <xf numFmtId="164" fontId="0" fillId="0" borderId="17" xfId="0" applyNumberFormat="1" applyBorder="1"/>
    <xf numFmtId="164" fontId="0" fillId="0" borderId="19" xfId="0" applyNumberFormat="1" applyBorder="1"/>
    <xf numFmtId="0" fontId="2" fillId="0" borderId="16" xfId="0" applyFont="1" applyBorder="1"/>
    <xf numFmtId="0" fontId="2" fillId="0" borderId="18" xfId="0" applyFont="1" applyBorder="1"/>
    <xf numFmtId="0" fontId="2" fillId="0" borderId="20" xfId="0" applyFont="1" applyBorder="1"/>
    <xf numFmtId="0" fontId="8" fillId="5" borderId="6" xfId="1" applyFont="1" applyFill="1" applyBorder="1" applyAlignment="1">
      <alignment horizontal="center"/>
    </xf>
    <xf numFmtId="164" fontId="0" fillId="0" borderId="15" xfId="0" applyNumberFormat="1" applyBorder="1"/>
    <xf numFmtId="164" fontId="0" fillId="0" borderId="23" xfId="0" applyNumberFormat="1" applyBorder="1"/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164" fontId="0" fillId="0" borderId="27" xfId="0" applyNumberFormat="1" applyBorder="1"/>
    <xf numFmtId="164" fontId="0" fillId="0" borderId="18" xfId="0" applyNumberFormat="1" applyBorder="1"/>
    <xf numFmtId="164" fontId="0" fillId="0" borderId="20" xfId="0" applyNumberFormat="1" applyBorder="1"/>
    <xf numFmtId="164" fontId="0" fillId="0" borderId="22" xfId="0" applyNumberFormat="1" applyBorder="1"/>
    <xf numFmtId="164" fontId="2" fillId="0" borderId="17" xfId="0" applyNumberFormat="1" applyFont="1" applyBorder="1"/>
    <xf numFmtId="164" fontId="2" fillId="0" borderId="19" xfId="0" applyNumberFormat="1" applyFont="1" applyBorder="1"/>
    <xf numFmtId="164" fontId="2" fillId="0" borderId="21" xfId="0" applyNumberFormat="1" applyFont="1" applyBorder="1"/>
    <xf numFmtId="0" fontId="5" fillId="0" borderId="6" xfId="0" applyFont="1" applyBorder="1" applyAlignment="1">
      <alignment horizontal="center" vertical="top" wrapText="1"/>
    </xf>
    <xf numFmtId="0" fontId="5" fillId="0" borderId="29" xfId="0" applyFont="1" applyBorder="1" applyAlignment="1">
      <alignment horizontal="center" vertical="top" wrapText="1"/>
    </xf>
    <xf numFmtId="0" fontId="5" fillId="0" borderId="30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2" fillId="6" borderId="25" xfId="0" applyFont="1" applyFill="1" applyBorder="1" applyAlignment="1">
      <alignment horizontal="center"/>
    </xf>
    <xf numFmtId="0" fontId="2" fillId="6" borderId="26" xfId="0" applyFont="1" applyFill="1" applyBorder="1" applyAlignment="1">
      <alignment horizontal="center"/>
    </xf>
    <xf numFmtId="165" fontId="0" fillId="6" borderId="23" xfId="0" applyNumberFormat="1" applyFill="1" applyBorder="1"/>
    <xf numFmtId="2" fontId="0" fillId="6" borderId="28" xfId="0" applyNumberFormat="1" applyFill="1" applyBorder="1"/>
    <xf numFmtId="165" fontId="0" fillId="6" borderId="15" xfId="0" applyNumberFormat="1" applyFill="1" applyBorder="1"/>
    <xf numFmtId="2" fontId="0" fillId="6" borderId="19" xfId="0" applyNumberFormat="1" applyFill="1" applyBorder="1"/>
    <xf numFmtId="165" fontId="0" fillId="6" borderId="22" xfId="0" applyNumberFormat="1" applyFill="1" applyBorder="1"/>
    <xf numFmtId="0" fontId="0" fillId="6" borderId="21" xfId="0" applyFill="1" applyBorder="1"/>
    <xf numFmtId="0" fontId="2" fillId="4" borderId="25" xfId="0" applyFont="1" applyFill="1" applyBorder="1" applyAlignment="1">
      <alignment horizontal="center"/>
    </xf>
    <xf numFmtId="164" fontId="0" fillId="4" borderId="23" xfId="0" applyNumberFormat="1" applyFill="1" applyBorder="1"/>
    <xf numFmtId="164" fontId="0" fillId="4" borderId="15" xfId="0" applyNumberFormat="1" applyFill="1" applyBorder="1"/>
    <xf numFmtId="164" fontId="0" fillId="4" borderId="22" xfId="0" applyNumberFormat="1" applyFill="1" applyBorder="1"/>
    <xf numFmtId="0" fontId="5" fillId="6" borderId="31" xfId="0" applyFont="1" applyFill="1" applyBorder="1" applyAlignment="1">
      <alignment vertical="top" wrapText="1"/>
    </xf>
    <xf numFmtId="0" fontId="5" fillId="6" borderId="32" xfId="0" applyFont="1" applyFill="1" applyBorder="1" applyAlignment="1">
      <alignment vertical="top" wrapText="1"/>
    </xf>
    <xf numFmtId="0" fontId="5" fillId="6" borderId="29" xfId="0" applyFont="1" applyFill="1" applyBorder="1" applyAlignment="1">
      <alignment vertical="top" wrapText="1"/>
    </xf>
    <xf numFmtId="0" fontId="5" fillId="4" borderId="31" xfId="0" applyFont="1" applyFill="1" applyBorder="1" applyAlignment="1">
      <alignment vertical="top" wrapText="1"/>
    </xf>
    <xf numFmtId="0" fontId="5" fillId="4" borderId="32" xfId="0" applyFont="1" applyFill="1" applyBorder="1" applyAlignment="1">
      <alignment vertical="top" wrapText="1"/>
    </xf>
    <xf numFmtId="0" fontId="5" fillId="4" borderId="29" xfId="0" applyFont="1" applyFill="1" applyBorder="1" applyAlignment="1">
      <alignment vertical="top" wrapText="1"/>
    </xf>
    <xf numFmtId="0" fontId="0" fillId="5" borderId="18" xfId="0" applyFill="1" applyBorder="1"/>
    <xf numFmtId="164" fontId="0" fillId="5" borderId="19" xfId="0" applyNumberFormat="1" applyFill="1" applyBorder="1"/>
    <xf numFmtId="0" fontId="0" fillId="5" borderId="20" xfId="0" applyFill="1" applyBorder="1"/>
    <xf numFmtId="164" fontId="0" fillId="5" borderId="21" xfId="0" applyNumberFormat="1" applyFill="1" applyBorder="1"/>
    <xf numFmtId="0" fontId="2" fillId="0" borderId="0" xfId="0" applyFont="1" applyFill="1" applyBorder="1"/>
  </cellXfs>
  <cellStyles count="2">
    <cellStyle name="Neutral" xfId="1" builtinId="28"/>
    <cellStyle name="Normal" xfId="0" builtinId="0"/>
  </cellStyles>
  <dxfs count="0"/>
  <tableStyles count="0" defaultTableStyle="TableStyleMedium9" defaultPivotStyle="PivotStyleLight16"/>
  <colors>
    <mruColors>
      <color rgb="FFBBFBBD"/>
      <color rgb="FFFFFFCC"/>
      <color rgb="FFD5FDB9"/>
      <color rgb="FF00FF00"/>
      <color rgb="FF22F22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9"/>
  <sheetViews>
    <sheetView tabSelected="1" topLeftCell="B1" zoomScaleNormal="100" workbookViewId="0">
      <selection activeCell="C6" sqref="C6"/>
    </sheetView>
  </sheetViews>
  <sheetFormatPr defaultRowHeight="15"/>
  <cols>
    <col min="2" max="2" width="29.28515625" customWidth="1"/>
    <col min="3" max="3" width="12.5703125" customWidth="1"/>
    <col min="4" max="4" width="35" customWidth="1"/>
    <col min="5" max="5" width="11.85546875" bestFit="1" customWidth="1"/>
    <col min="7" max="7" width="27.7109375" customWidth="1"/>
    <col min="8" max="8" width="10.5703125" customWidth="1"/>
    <col min="10" max="10" width="11" customWidth="1"/>
    <col min="11" max="12" width="10.7109375" customWidth="1"/>
    <col min="17" max="17" width="10.42578125" customWidth="1"/>
  </cols>
  <sheetData>
    <row r="1" spans="1:21">
      <c r="A1" s="10"/>
      <c r="B1" s="11"/>
      <c r="C1" s="11"/>
      <c r="D1" s="11"/>
      <c r="E1" s="11"/>
      <c r="F1" s="12"/>
    </row>
    <row r="2" spans="1:21" ht="15.75" thickBot="1">
      <c r="A2" s="13"/>
      <c r="B2" s="14"/>
      <c r="C2" s="14"/>
      <c r="D2" s="14"/>
      <c r="E2" s="14"/>
      <c r="F2" s="15"/>
      <c r="G2" s="49" t="s">
        <v>81</v>
      </c>
      <c r="L2" s="49" t="s">
        <v>82</v>
      </c>
      <c r="S2" s="49" t="s">
        <v>83</v>
      </c>
    </row>
    <row r="3" spans="1:21">
      <c r="A3" s="13"/>
      <c r="B3" s="1" t="s">
        <v>5</v>
      </c>
      <c r="C3" s="2" t="s">
        <v>30</v>
      </c>
      <c r="D3" s="2" t="s">
        <v>7</v>
      </c>
      <c r="E3" s="3" t="s">
        <v>30</v>
      </c>
      <c r="F3" s="15"/>
      <c r="G3" s="93" t="s">
        <v>78</v>
      </c>
      <c r="J3" s="49" t="s">
        <v>79</v>
      </c>
      <c r="Q3" s="49" t="s">
        <v>80</v>
      </c>
    </row>
    <row r="4" spans="1:21" ht="15.75" thickBot="1">
      <c r="A4" s="13"/>
      <c r="B4" s="4"/>
      <c r="C4" s="5"/>
      <c r="D4" s="6" t="s">
        <v>9</v>
      </c>
      <c r="E4" s="7"/>
      <c r="F4" s="15"/>
    </row>
    <row r="5" spans="1:21" ht="15" customHeight="1" thickBot="1">
      <c r="A5" s="13"/>
      <c r="B5" s="4" t="s">
        <v>0</v>
      </c>
      <c r="C5" s="42">
        <v>14</v>
      </c>
      <c r="D5" s="5" t="s">
        <v>10</v>
      </c>
      <c r="E5" s="30">
        <f>PI()*C6</f>
        <v>3.1415926535897931</v>
      </c>
      <c r="F5" s="14"/>
      <c r="G5" s="46" t="s">
        <v>65</v>
      </c>
      <c r="H5" s="50">
        <f>300/C5</f>
        <v>21.428571428571427</v>
      </c>
      <c r="J5" s="58" t="s">
        <v>58</v>
      </c>
      <c r="K5" s="59" t="s">
        <v>59</v>
      </c>
      <c r="L5" s="59" t="s">
        <v>60</v>
      </c>
      <c r="M5" s="71" t="s">
        <v>68</v>
      </c>
      <c r="N5" s="79" t="s">
        <v>69</v>
      </c>
      <c r="O5" s="72" t="s">
        <v>70</v>
      </c>
      <c r="Q5" s="67" t="s">
        <v>71</v>
      </c>
      <c r="R5" s="68" t="s">
        <v>72</v>
      </c>
      <c r="S5" s="68" t="s">
        <v>73</v>
      </c>
      <c r="T5" s="68" t="s">
        <v>74</v>
      </c>
      <c r="U5" s="68" t="s">
        <v>75</v>
      </c>
    </row>
    <row r="6" spans="1:21" ht="15.75" thickBot="1">
      <c r="A6" s="13"/>
      <c r="B6" s="4" t="s">
        <v>1</v>
      </c>
      <c r="C6" s="43">
        <v>1</v>
      </c>
      <c r="D6" s="5" t="s">
        <v>11</v>
      </c>
      <c r="E6" s="20" t="s">
        <v>32</v>
      </c>
      <c r="F6" s="14"/>
      <c r="G6" s="47" t="s">
        <v>41</v>
      </c>
      <c r="H6" s="51">
        <f>H5*0.159</f>
        <v>3.407142857142857</v>
      </c>
      <c r="J6" s="60">
        <f>H$8+1</f>
        <v>1.5</v>
      </c>
      <c r="K6" s="57">
        <f>J6^2</f>
        <v>2.25</v>
      </c>
      <c r="L6" s="57">
        <f>J6^3</f>
        <v>3.375</v>
      </c>
      <c r="M6" s="73">
        <f t="shared" ref="M6:M24" si="0">H$19/K6</f>
        <v>179.23102542055102</v>
      </c>
      <c r="N6" s="80">
        <f t="shared" ref="N6:N24" si="1">H$12/L6</f>
        <v>5.6903507271494354</v>
      </c>
      <c r="O6" s="74">
        <f>M6*N6</f>
        <v>1019.8873958295715</v>
      </c>
      <c r="Q6" s="69">
        <v>7</v>
      </c>
      <c r="R6" s="70">
        <v>87.1</v>
      </c>
      <c r="S6" s="70">
        <v>32.9</v>
      </c>
      <c r="T6" s="70">
        <v>117</v>
      </c>
      <c r="U6" s="70">
        <v>40</v>
      </c>
    </row>
    <row r="7" spans="1:21" ht="18" thickBot="1">
      <c r="A7" s="13"/>
      <c r="B7" s="4" t="s">
        <v>2</v>
      </c>
      <c r="C7" s="43">
        <v>22</v>
      </c>
      <c r="D7" s="5" t="s">
        <v>12</v>
      </c>
      <c r="E7" s="20">
        <f>(PI()/4)*(C6^2)</f>
        <v>0.78539816339744828</v>
      </c>
      <c r="F7" s="14"/>
      <c r="G7" s="47" t="s">
        <v>42</v>
      </c>
      <c r="H7" s="51">
        <f>H5-H6</f>
        <v>18.021428571428569</v>
      </c>
      <c r="J7" s="61">
        <f>H$8+1.5</f>
        <v>2</v>
      </c>
      <c r="K7" s="56">
        <f t="shared" ref="K7:K24" si="2">J7^2</f>
        <v>4</v>
      </c>
      <c r="L7" s="56">
        <f t="shared" ref="L7:L24" si="3">J7^3</f>
        <v>8</v>
      </c>
      <c r="M7" s="75">
        <f t="shared" si="0"/>
        <v>100.81745179905995</v>
      </c>
      <c r="N7" s="81">
        <f t="shared" si="1"/>
        <v>2.4006167130161682</v>
      </c>
      <c r="O7" s="76">
        <f t="shared" ref="O7:O24" si="4">M7*N7</f>
        <v>242.02405975252529</v>
      </c>
      <c r="Q7" s="69">
        <v>10</v>
      </c>
      <c r="R7" s="70">
        <v>61</v>
      </c>
      <c r="S7" s="70">
        <v>28</v>
      </c>
      <c r="T7" s="70">
        <v>82.4</v>
      </c>
      <c r="U7" s="70">
        <v>28</v>
      </c>
    </row>
    <row r="8" spans="1:21" ht="15.75" thickBot="1">
      <c r="A8" s="13"/>
      <c r="B8" s="4" t="s">
        <v>3</v>
      </c>
      <c r="C8" s="43">
        <v>100</v>
      </c>
      <c r="D8" s="5" t="s">
        <v>27</v>
      </c>
      <c r="E8" s="28">
        <f>C6/5*100</f>
        <v>20</v>
      </c>
      <c r="F8" s="14"/>
      <c r="G8" s="47" t="s">
        <v>62</v>
      </c>
      <c r="H8" s="51">
        <f>C6/2</f>
        <v>0.5</v>
      </c>
      <c r="J8" s="61">
        <f>H$8+2</f>
        <v>2.5</v>
      </c>
      <c r="K8" s="56">
        <f t="shared" si="2"/>
        <v>6.25</v>
      </c>
      <c r="L8" s="56">
        <f t="shared" si="3"/>
        <v>15.625</v>
      </c>
      <c r="M8" s="75">
        <f t="shared" si="0"/>
        <v>64.523169151398363</v>
      </c>
      <c r="N8" s="81">
        <f t="shared" si="1"/>
        <v>1.2291157570642781</v>
      </c>
      <c r="O8" s="76">
        <f t="shared" si="4"/>
        <v>79.306443899707475</v>
      </c>
      <c r="Q8" s="69">
        <v>14</v>
      </c>
      <c r="R8" s="70">
        <v>61</v>
      </c>
      <c r="S8" s="70">
        <v>28</v>
      </c>
      <c r="T8" s="70">
        <v>58.8</v>
      </c>
      <c r="U8" s="70">
        <v>28</v>
      </c>
    </row>
    <row r="9" spans="1:21" ht="15.75" thickBot="1">
      <c r="A9" s="13"/>
      <c r="B9" s="4" t="s">
        <v>4</v>
      </c>
      <c r="C9" s="44">
        <v>1</v>
      </c>
      <c r="D9" s="6" t="s">
        <v>13</v>
      </c>
      <c r="E9" s="31"/>
      <c r="F9" s="14"/>
      <c r="G9" s="47" t="s">
        <v>43</v>
      </c>
      <c r="H9" s="48">
        <f>C8</f>
        <v>100</v>
      </c>
      <c r="J9" s="61">
        <f>H$8+2.5</f>
        <v>3</v>
      </c>
      <c r="K9" s="56">
        <f t="shared" si="2"/>
        <v>9</v>
      </c>
      <c r="L9" s="56">
        <f t="shared" si="3"/>
        <v>27</v>
      </c>
      <c r="M9" s="75">
        <f t="shared" si="0"/>
        <v>44.807756355137755</v>
      </c>
      <c r="N9" s="81">
        <f t="shared" si="1"/>
        <v>0.71129384089367942</v>
      </c>
      <c r="O9" s="76">
        <f t="shared" si="4"/>
        <v>31.871481119674108</v>
      </c>
      <c r="Q9" s="69">
        <v>18</v>
      </c>
      <c r="R9" s="70">
        <v>61</v>
      </c>
      <c r="S9" s="70">
        <v>28</v>
      </c>
      <c r="T9" s="70">
        <v>45.7</v>
      </c>
      <c r="U9" s="70">
        <v>28</v>
      </c>
    </row>
    <row r="10" spans="1:21" ht="15.75" thickBot="1">
      <c r="A10" s="13"/>
      <c r="B10" s="4"/>
      <c r="C10" s="5"/>
      <c r="D10" s="5" t="s">
        <v>14</v>
      </c>
      <c r="E10" s="34">
        <f>(((2*PI()*(10^-7)*(C6))*(LN((8/(C7/1000)*C6))-2))*10^6)</f>
        <v>2.4480259875145918</v>
      </c>
      <c r="F10" s="14"/>
      <c r="G10" s="47" t="s">
        <v>44</v>
      </c>
      <c r="H10" s="51">
        <f>C8*E17/100</f>
        <v>67.268732090614009</v>
      </c>
      <c r="J10" s="61">
        <f>H$8+3</f>
        <v>3.5</v>
      </c>
      <c r="K10" s="56">
        <f t="shared" si="2"/>
        <v>12.25</v>
      </c>
      <c r="L10" s="56">
        <f t="shared" si="3"/>
        <v>42.875</v>
      </c>
      <c r="M10" s="75">
        <f t="shared" si="0"/>
        <v>32.919984260917538</v>
      </c>
      <c r="N10" s="81">
        <f t="shared" si="1"/>
        <v>0.44792848289514509</v>
      </c>
      <c r="O10" s="76">
        <f t="shared" si="4"/>
        <v>14.745798606924847</v>
      </c>
      <c r="Q10" s="69">
        <v>21</v>
      </c>
      <c r="R10" s="70">
        <v>61</v>
      </c>
      <c r="S10" s="70">
        <v>28</v>
      </c>
      <c r="T10" s="70">
        <v>39.200000000000003</v>
      </c>
      <c r="U10" s="70">
        <v>28</v>
      </c>
    </row>
    <row r="11" spans="1:21" ht="15.75" thickBot="1">
      <c r="A11" s="13"/>
      <c r="B11" s="8" t="s">
        <v>6</v>
      </c>
      <c r="C11" s="32" t="s">
        <v>30</v>
      </c>
      <c r="D11" s="5" t="s">
        <v>15</v>
      </c>
      <c r="E11" s="21">
        <f>25330/((C5^2)*E10)</f>
        <v>52.791389689763534</v>
      </c>
      <c r="F11" s="14"/>
      <c r="G11" s="47" t="s">
        <v>55</v>
      </c>
      <c r="H11" s="51">
        <f>E23</f>
        <v>19.204933704129346</v>
      </c>
      <c r="J11" s="61">
        <f>H$8+3.5</f>
        <v>4</v>
      </c>
      <c r="K11" s="56">
        <f t="shared" si="2"/>
        <v>16</v>
      </c>
      <c r="L11" s="56">
        <f t="shared" si="3"/>
        <v>64</v>
      </c>
      <c r="M11" s="75">
        <f t="shared" si="0"/>
        <v>25.204362949764988</v>
      </c>
      <c r="N11" s="81">
        <f t="shared" si="1"/>
        <v>0.30007708912702102</v>
      </c>
      <c r="O11" s="76">
        <f t="shared" si="4"/>
        <v>7.5632518672664153</v>
      </c>
      <c r="Q11" s="69">
        <v>24</v>
      </c>
      <c r="R11" s="70">
        <v>61</v>
      </c>
      <c r="S11" s="70">
        <v>28</v>
      </c>
      <c r="T11" s="70">
        <v>34.299999999999997</v>
      </c>
      <c r="U11" s="70">
        <v>28</v>
      </c>
    </row>
    <row r="12" spans="1:21" ht="18.75" thickBot="1">
      <c r="A12" s="13"/>
      <c r="B12" s="8" t="s">
        <v>8</v>
      </c>
      <c r="C12" s="32" t="s">
        <v>31</v>
      </c>
      <c r="D12" s="5" t="s">
        <v>16</v>
      </c>
      <c r="E12" s="22">
        <f>2.69*E5</f>
        <v>8.4508842381565437</v>
      </c>
      <c r="F12" s="14"/>
      <c r="G12" s="89" t="s">
        <v>45</v>
      </c>
      <c r="H12" s="90">
        <f>H11/C6</f>
        <v>19.204933704129346</v>
      </c>
      <c r="J12" s="61">
        <f>H$8+4</f>
        <v>4.5</v>
      </c>
      <c r="K12" s="56">
        <f t="shared" si="2"/>
        <v>20.25</v>
      </c>
      <c r="L12" s="56">
        <f t="shared" si="3"/>
        <v>91.125</v>
      </c>
      <c r="M12" s="75">
        <f t="shared" si="0"/>
        <v>19.914558380061226</v>
      </c>
      <c r="N12" s="81">
        <f t="shared" si="1"/>
        <v>0.21075373063516428</v>
      </c>
      <c r="O12" s="76">
        <f t="shared" si="4"/>
        <v>4.1970674725496773</v>
      </c>
      <c r="Q12" s="69">
        <v>28</v>
      </c>
      <c r="R12" s="70">
        <v>61</v>
      </c>
      <c r="S12" s="70">
        <v>28</v>
      </c>
      <c r="T12" s="70">
        <v>29.4</v>
      </c>
      <c r="U12" s="70">
        <v>28</v>
      </c>
    </row>
    <row r="13" spans="1:21" ht="18.75" thickBot="1">
      <c r="A13" s="13"/>
      <c r="B13" s="4"/>
      <c r="C13" s="27">
        <f>5.8*10^7</f>
        <v>58000000</v>
      </c>
      <c r="D13" s="5" t="s">
        <v>17</v>
      </c>
      <c r="E13" s="22">
        <f>E11-E12</f>
        <v>44.340505451606987</v>
      </c>
      <c r="F13" s="14"/>
      <c r="G13" s="47" t="s">
        <v>41</v>
      </c>
      <c r="H13" s="51">
        <f>H5*0.159</f>
        <v>3.407142857142857</v>
      </c>
      <c r="J13" s="61">
        <f>H$8+4.5</f>
        <v>5</v>
      </c>
      <c r="K13" s="56">
        <f t="shared" si="2"/>
        <v>25</v>
      </c>
      <c r="L13" s="56">
        <f t="shared" si="3"/>
        <v>125</v>
      </c>
      <c r="M13" s="75">
        <f t="shared" si="0"/>
        <v>16.130792287849591</v>
      </c>
      <c r="N13" s="81">
        <f t="shared" si="1"/>
        <v>0.15363946963303476</v>
      </c>
      <c r="O13" s="76">
        <f t="shared" si="4"/>
        <v>2.4783263718658586</v>
      </c>
      <c r="Q13" s="83" t="s">
        <v>76</v>
      </c>
      <c r="R13" s="84"/>
      <c r="S13" s="84"/>
      <c r="T13" s="84"/>
      <c r="U13" s="85"/>
    </row>
    <row r="14" spans="1:21" ht="18">
      <c r="A14" s="13"/>
      <c r="B14" s="4"/>
      <c r="C14" s="5"/>
      <c r="D14" s="5" t="s">
        <v>18</v>
      </c>
      <c r="E14" s="23">
        <f>10^6/(2*PI()*C5*E11)</f>
        <v>215.34212847315914</v>
      </c>
      <c r="F14" s="14"/>
      <c r="G14" s="47" t="s">
        <v>46</v>
      </c>
      <c r="H14" s="51">
        <f>H13^3</f>
        <v>39.552235058309037</v>
      </c>
      <c r="J14" s="61">
        <f>H$8+5</f>
        <v>5.5</v>
      </c>
      <c r="K14" s="56">
        <f t="shared" si="2"/>
        <v>30.25</v>
      </c>
      <c r="L14" s="56">
        <f t="shared" si="3"/>
        <v>166.375</v>
      </c>
      <c r="M14" s="75">
        <f t="shared" si="0"/>
        <v>13.331233295743464</v>
      </c>
      <c r="N14" s="81">
        <f t="shared" si="1"/>
        <v>0.11543160753796751</v>
      </c>
      <c r="O14" s="76">
        <f t="shared" si="4"/>
        <v>1.5388456897913447</v>
      </c>
    </row>
    <row r="15" spans="1:21" ht="18.75" thickBot="1">
      <c r="A15" s="13"/>
      <c r="B15" s="35" t="s">
        <v>34</v>
      </c>
      <c r="C15" s="5"/>
      <c r="D15" s="5" t="s">
        <v>19</v>
      </c>
      <c r="E15" s="29">
        <f>31171*(E7/((300/C5)^2))^2</f>
        <v>9.1192185003215048E-2</v>
      </c>
      <c r="F15" s="14"/>
      <c r="G15" s="47" t="s">
        <v>47</v>
      </c>
      <c r="H15" s="51">
        <f>H11/(2*H14)</f>
        <v>0.24277937360324747</v>
      </c>
      <c r="J15" s="61">
        <f>H$8+5.5</f>
        <v>6</v>
      </c>
      <c r="K15" s="56">
        <f t="shared" si="2"/>
        <v>36</v>
      </c>
      <c r="L15" s="56">
        <f t="shared" si="3"/>
        <v>216</v>
      </c>
      <c r="M15" s="75">
        <f t="shared" si="0"/>
        <v>11.201939088784439</v>
      </c>
      <c r="N15" s="81">
        <f t="shared" si="1"/>
        <v>8.8911730111709927E-2</v>
      </c>
      <c r="O15" s="76">
        <f t="shared" si="4"/>
        <v>0.99598378498981588</v>
      </c>
    </row>
    <row r="16" spans="1:21" ht="16.5" customHeight="1" thickBot="1">
      <c r="A16" s="13"/>
      <c r="B16" s="36" t="s">
        <v>36</v>
      </c>
      <c r="C16" s="40">
        <f>(300/C5)/8</f>
        <v>2.6785714285714284</v>
      </c>
      <c r="D16" s="5" t="s">
        <v>20</v>
      </c>
      <c r="E16" s="29">
        <f>((2*E5/(C7/1000))*SQRT(((C5)/10)/(C13*10^-6)))/1000</f>
        <v>4.4371816530774141E-2</v>
      </c>
      <c r="F16" s="14"/>
      <c r="G16" s="47" t="s">
        <v>61</v>
      </c>
      <c r="H16" s="51">
        <f>SQRT((H11*377)/(2*SQRT(30*H10)))</f>
        <v>8.976942827427564</v>
      </c>
      <c r="J16" s="61">
        <f>H$8+6</f>
        <v>6.5</v>
      </c>
      <c r="K16" s="56">
        <f t="shared" si="2"/>
        <v>42.25</v>
      </c>
      <c r="L16" s="56">
        <f t="shared" si="3"/>
        <v>274.625</v>
      </c>
      <c r="M16" s="75">
        <f t="shared" si="0"/>
        <v>9.5448475076033095</v>
      </c>
      <c r="N16" s="81">
        <f t="shared" si="1"/>
        <v>6.993148367457204E-2</v>
      </c>
      <c r="O16" s="76">
        <f t="shared" si="4"/>
        <v>0.6674853476542405</v>
      </c>
      <c r="Q16" s="67" t="s">
        <v>71</v>
      </c>
      <c r="R16" s="68" t="s">
        <v>72</v>
      </c>
      <c r="S16" s="68" t="s">
        <v>73</v>
      </c>
      <c r="T16" s="68" t="s">
        <v>74</v>
      </c>
      <c r="U16" s="68" t="s">
        <v>75</v>
      </c>
    </row>
    <row r="17" spans="1:21" ht="15.75" thickBot="1">
      <c r="A17" s="13"/>
      <c r="B17" s="37" t="s">
        <v>35</v>
      </c>
      <c r="C17" s="39">
        <f>E5</f>
        <v>3.1415926535897931</v>
      </c>
      <c r="D17" s="5" t="s">
        <v>21</v>
      </c>
      <c r="E17" s="23">
        <f>(E15/(E15+E16))*100</f>
        <v>67.268732090614009</v>
      </c>
      <c r="F17" s="14"/>
      <c r="G17" s="47" t="s">
        <v>48</v>
      </c>
      <c r="H17" s="51">
        <f>SQRT(30*H10)/(H16*377)</f>
        <v>1.3273866299211987E-2</v>
      </c>
      <c r="J17" s="61">
        <f>H$8+6.5</f>
        <v>7</v>
      </c>
      <c r="K17" s="56">
        <f t="shared" si="2"/>
        <v>49</v>
      </c>
      <c r="L17" s="56">
        <f t="shared" si="3"/>
        <v>343</v>
      </c>
      <c r="M17" s="75">
        <f t="shared" si="0"/>
        <v>8.2299960652293844</v>
      </c>
      <c r="N17" s="81">
        <f t="shared" si="1"/>
        <v>5.5991060361893136E-2</v>
      </c>
      <c r="O17" s="76">
        <f t="shared" si="4"/>
        <v>0.46080620646640147</v>
      </c>
      <c r="Q17" s="69">
        <v>7</v>
      </c>
      <c r="R17" s="70">
        <v>0.23</v>
      </c>
      <c r="S17" s="70">
        <v>0.1</v>
      </c>
      <c r="T17" s="70">
        <v>0.31</v>
      </c>
      <c r="U17" s="70">
        <v>0.31</v>
      </c>
    </row>
    <row r="18" spans="1:21" ht="15.75" thickBot="1">
      <c r="A18" s="13"/>
      <c r="B18" s="36" t="s">
        <v>37</v>
      </c>
      <c r="C18" s="41">
        <f>(300/C5)/4</f>
        <v>5.3571428571428568</v>
      </c>
      <c r="D18" s="5" t="s">
        <v>28</v>
      </c>
      <c r="E18" s="24">
        <f>10*LOG(E17/100)</f>
        <v>-1.7218675800530927</v>
      </c>
      <c r="F18" s="14"/>
      <c r="G18" s="47" t="s">
        <v>49</v>
      </c>
      <c r="H18" s="51">
        <f>SQRT(30*H10)/H16</f>
        <v>5.0042475948029193</v>
      </c>
      <c r="J18" s="61">
        <f>H$8+7</f>
        <v>7.5</v>
      </c>
      <c r="K18" s="56">
        <f t="shared" si="2"/>
        <v>56.25</v>
      </c>
      <c r="L18" s="56">
        <f t="shared" si="3"/>
        <v>421.875</v>
      </c>
      <c r="M18" s="75">
        <f t="shared" si="0"/>
        <v>7.1692410168220411</v>
      </c>
      <c r="N18" s="81">
        <f t="shared" si="1"/>
        <v>4.5522805817195484E-2</v>
      </c>
      <c r="O18" s="76">
        <f t="shared" si="4"/>
        <v>0.32636396666546286</v>
      </c>
      <c r="Q18" s="69">
        <v>10</v>
      </c>
      <c r="R18" s="70">
        <v>0.16</v>
      </c>
      <c r="S18" s="70">
        <v>7.2999999999999995E-2</v>
      </c>
      <c r="T18" s="70">
        <v>0.22</v>
      </c>
      <c r="U18" s="70">
        <v>0.22</v>
      </c>
    </row>
    <row r="19" spans="1:21" ht="15.75" thickBot="1">
      <c r="A19" s="13"/>
      <c r="B19" s="36"/>
      <c r="C19" s="5"/>
      <c r="D19" s="5" t="s">
        <v>22</v>
      </c>
      <c r="E19" s="23">
        <f>E14/(2*(E15+E16))</f>
        <v>794.24524961063378</v>
      </c>
      <c r="F19" s="14"/>
      <c r="G19" s="91" t="s">
        <v>50</v>
      </c>
      <c r="H19" s="92">
        <f>H18*H16^2</f>
        <v>403.26980719623981</v>
      </c>
      <c r="J19" s="61">
        <f>H$8+7.5</f>
        <v>8</v>
      </c>
      <c r="K19" s="56">
        <f t="shared" si="2"/>
        <v>64</v>
      </c>
      <c r="L19" s="56">
        <f t="shared" si="3"/>
        <v>512</v>
      </c>
      <c r="M19" s="75">
        <f t="shared" si="0"/>
        <v>6.301090737441247</v>
      </c>
      <c r="N19" s="81">
        <f t="shared" si="1"/>
        <v>3.7509636140877628E-2</v>
      </c>
      <c r="O19" s="76">
        <f t="shared" si="4"/>
        <v>0.23635162085207548</v>
      </c>
      <c r="Q19" s="69">
        <v>14</v>
      </c>
      <c r="R19" s="70">
        <v>0.16</v>
      </c>
      <c r="S19" s="70">
        <v>7.2999999999999995E-2</v>
      </c>
      <c r="T19" s="70">
        <v>0.16</v>
      </c>
      <c r="U19" s="70">
        <v>0.16</v>
      </c>
    </row>
    <row r="20" spans="1:21" ht="15.75" thickBot="1">
      <c r="A20" s="13"/>
      <c r="B20" s="37"/>
      <c r="C20" s="5"/>
      <c r="D20" s="5" t="s">
        <v>23</v>
      </c>
      <c r="E20" s="23">
        <f>1000*(C5/E19)</f>
        <v>17.626797273088229</v>
      </c>
      <c r="F20" s="15"/>
      <c r="J20" s="61">
        <f>H$8+8</f>
        <v>8.5</v>
      </c>
      <c r="K20" s="56">
        <f t="shared" si="2"/>
        <v>72.25</v>
      </c>
      <c r="L20" s="56">
        <f t="shared" si="3"/>
        <v>614.125</v>
      </c>
      <c r="M20" s="75">
        <f t="shared" si="0"/>
        <v>5.581589026937575</v>
      </c>
      <c r="N20" s="81">
        <f t="shared" si="1"/>
        <v>3.127202719988495E-2</v>
      </c>
      <c r="O20" s="76">
        <f t="shared" si="4"/>
        <v>0.17454760386897122</v>
      </c>
      <c r="Q20" s="69">
        <v>18</v>
      </c>
      <c r="R20" s="70">
        <v>0.16</v>
      </c>
      <c r="S20" s="70">
        <v>7.2999999999999995E-2</v>
      </c>
      <c r="T20" s="70">
        <v>0.12</v>
      </c>
      <c r="U20" s="70">
        <v>0.12</v>
      </c>
    </row>
    <row r="21" spans="1:21" ht="18.75" thickBot="1">
      <c r="A21" s="13"/>
      <c r="B21" s="36"/>
      <c r="C21" s="5"/>
      <c r="D21" s="5" t="s">
        <v>24</v>
      </c>
      <c r="E21" s="23">
        <f>SQRT(C8*E14*E19)</f>
        <v>4135.631301033126</v>
      </c>
      <c r="F21" s="14"/>
      <c r="G21" s="52" t="s">
        <v>51</v>
      </c>
      <c r="H21" s="64">
        <f>H6</f>
        <v>3.407142857142857</v>
      </c>
      <c r="J21" s="61">
        <f>H$8+8.5</f>
        <v>9</v>
      </c>
      <c r="K21" s="56">
        <f t="shared" si="2"/>
        <v>81</v>
      </c>
      <c r="L21" s="56">
        <f t="shared" si="3"/>
        <v>729</v>
      </c>
      <c r="M21" s="75">
        <f t="shared" si="0"/>
        <v>4.9786395950153066</v>
      </c>
      <c r="N21" s="81">
        <f t="shared" si="1"/>
        <v>2.6344216329395535E-2</v>
      </c>
      <c r="O21" s="76">
        <f t="shared" si="4"/>
        <v>0.13115835851717741</v>
      </c>
      <c r="Q21" s="69">
        <v>21</v>
      </c>
      <c r="R21" s="70">
        <v>0.16</v>
      </c>
      <c r="S21" s="70">
        <v>7.2999999999999995E-2</v>
      </c>
      <c r="T21" s="70">
        <v>0.1</v>
      </c>
      <c r="U21" s="70">
        <v>0.1</v>
      </c>
    </row>
    <row r="22" spans="1:21" ht="18.75" thickBot="1">
      <c r="A22" s="13"/>
      <c r="B22" s="36" t="s">
        <v>38</v>
      </c>
      <c r="C22" s="5"/>
      <c r="D22" s="5" t="s">
        <v>25</v>
      </c>
      <c r="E22" s="23">
        <f>1.41*E21</f>
        <v>5831.240134456707</v>
      </c>
      <c r="F22" s="14"/>
      <c r="G22" s="53" t="s">
        <v>52</v>
      </c>
      <c r="H22" s="65">
        <f>H16</f>
        <v>8.976942827427564</v>
      </c>
      <c r="J22" s="61">
        <f>H$8+9</f>
        <v>9.5</v>
      </c>
      <c r="K22" s="56">
        <f t="shared" si="2"/>
        <v>90.25</v>
      </c>
      <c r="L22" s="56">
        <f t="shared" si="3"/>
        <v>857.375</v>
      </c>
      <c r="M22" s="75">
        <f t="shared" si="0"/>
        <v>4.4683635146397762</v>
      </c>
      <c r="N22" s="81">
        <f t="shared" si="1"/>
        <v>2.2399689405603551E-2</v>
      </c>
      <c r="O22" s="76">
        <f t="shared" si="4"/>
        <v>0.10008995487926205</v>
      </c>
      <c r="Q22" s="69">
        <v>24</v>
      </c>
      <c r="R22" s="70">
        <v>0.16</v>
      </c>
      <c r="S22" s="70">
        <v>7.2999999999999995E-2</v>
      </c>
      <c r="T22" s="70">
        <v>0.09</v>
      </c>
      <c r="U22" s="70">
        <v>0.09</v>
      </c>
    </row>
    <row r="23" spans="1:21" ht="15.75" customHeight="1" thickBot="1">
      <c r="A23" s="13"/>
      <c r="B23" s="36" t="s">
        <v>30</v>
      </c>
      <c r="C23" s="45">
        <f>E21/1000</f>
        <v>4.1356313010331256</v>
      </c>
      <c r="D23" s="5" t="s">
        <v>26</v>
      </c>
      <c r="E23" s="25">
        <f>SQRT((C8*E19)/E14)</f>
        <v>19.204933704129346</v>
      </c>
      <c r="F23" s="14"/>
      <c r="G23" s="53" t="s">
        <v>53</v>
      </c>
      <c r="H23" s="65">
        <f>H17</f>
        <v>1.3273866299211987E-2</v>
      </c>
      <c r="J23" s="61">
        <f>H$8+9.5</f>
        <v>10</v>
      </c>
      <c r="K23" s="56">
        <f t="shared" si="2"/>
        <v>100</v>
      </c>
      <c r="L23" s="56">
        <f t="shared" si="3"/>
        <v>1000</v>
      </c>
      <c r="M23" s="75">
        <f t="shared" si="0"/>
        <v>4.0326980719623977</v>
      </c>
      <c r="N23" s="81">
        <f t="shared" si="1"/>
        <v>1.9204933704129346E-2</v>
      </c>
      <c r="O23" s="76">
        <f t="shared" si="4"/>
        <v>7.7447699120808081E-2</v>
      </c>
      <c r="Q23" s="69">
        <v>28</v>
      </c>
      <c r="R23" s="70">
        <v>0.16</v>
      </c>
      <c r="S23" s="70">
        <v>7.2999999999999995E-2</v>
      </c>
      <c r="T23" s="70">
        <v>0.08</v>
      </c>
      <c r="U23" s="70">
        <v>0.08</v>
      </c>
    </row>
    <row r="24" spans="1:21" ht="15.75" thickBot="1">
      <c r="A24" s="13"/>
      <c r="B24" s="38"/>
      <c r="C24" s="9"/>
      <c r="D24" s="9" t="s">
        <v>29</v>
      </c>
      <c r="E24" s="26">
        <f>(0.0661*(1/SQRT(C5)))</f>
        <v>1.7665968090411256E-2</v>
      </c>
      <c r="F24" s="14"/>
      <c r="G24" s="54" t="s">
        <v>54</v>
      </c>
      <c r="H24" s="66">
        <f>H18</f>
        <v>5.0042475948029193</v>
      </c>
      <c r="J24" s="62">
        <f>H$8+10</f>
        <v>10.5</v>
      </c>
      <c r="K24" s="63">
        <f t="shared" si="2"/>
        <v>110.25</v>
      </c>
      <c r="L24" s="63">
        <f t="shared" si="3"/>
        <v>1157.625</v>
      </c>
      <c r="M24" s="77">
        <f t="shared" si="0"/>
        <v>3.6577760289908374</v>
      </c>
      <c r="N24" s="82">
        <f t="shared" si="1"/>
        <v>1.6589943810931301E-2</v>
      </c>
      <c r="O24" s="78">
        <f t="shared" si="4"/>
        <v>6.0682298793929411E-2</v>
      </c>
      <c r="Q24" s="86" t="s">
        <v>77</v>
      </c>
      <c r="R24" s="87"/>
      <c r="S24" s="87"/>
      <c r="T24" s="87"/>
      <c r="U24" s="88"/>
    </row>
    <row r="25" spans="1:21">
      <c r="A25" s="13"/>
      <c r="B25" s="14"/>
      <c r="C25" s="14"/>
      <c r="D25" s="33" t="s">
        <v>40</v>
      </c>
      <c r="E25" s="14"/>
      <c r="F25" s="15"/>
    </row>
    <row r="26" spans="1:21" ht="15.75" thickBot="1">
      <c r="A26" s="16"/>
      <c r="B26" s="19" t="s">
        <v>39</v>
      </c>
      <c r="C26" s="17"/>
      <c r="D26" s="19" t="s">
        <v>33</v>
      </c>
      <c r="E26" s="17"/>
      <c r="F26" s="18"/>
    </row>
    <row r="27" spans="1:21" ht="15.75" thickBot="1">
      <c r="B27" s="55" t="s">
        <v>57</v>
      </c>
    </row>
    <row r="28" spans="1:21">
      <c r="A28" s="49" t="s">
        <v>56</v>
      </c>
      <c r="G28" t="s">
        <v>63</v>
      </c>
      <c r="J28" t="s">
        <v>66</v>
      </c>
    </row>
    <row r="29" spans="1:21">
      <c r="G29" t="s">
        <v>64</v>
      </c>
      <c r="J29" t="s">
        <v>67</v>
      </c>
    </row>
  </sheetData>
  <sheetProtection password="CF6F" sheet="1" objects="1" scenarios="1" selectLockedCells="1"/>
  <mergeCells count="2">
    <mergeCell ref="Q13:U13"/>
    <mergeCell ref="Q24:U2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Antena circulara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Cristian</cp:lastModifiedBy>
  <cp:lastPrinted>2013-11-23T08:43:37Z</cp:lastPrinted>
  <dcterms:created xsi:type="dcterms:W3CDTF">2013-11-13T09:18:39Z</dcterms:created>
  <dcterms:modified xsi:type="dcterms:W3CDTF">2014-01-31T08:26:03Z</dcterms:modified>
</cp:coreProperties>
</file>